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075" activeTab="1"/>
  </bookViews>
  <sheets>
    <sheet name="MEMÓRIA DE CÁLCULO" sheetId="1" r:id="rId1"/>
    <sheet name="PLANILHA " sheetId="2" r:id="rId2"/>
    <sheet name="CRON GERAL" sheetId="3" r:id="rId3"/>
    <sheet name="QCI " sheetId="4" r:id="rId4"/>
    <sheet name="REFF" sheetId="5" r:id="rId5"/>
    <sheet name="Plan1" sheetId="6" r:id="rId6"/>
  </sheets>
  <externalReferences>
    <externalReference r:id="rId9"/>
  </externalReferences>
  <definedNames>
    <definedName name="_xlnm.Print_Area" localSheetId="2">'CRON GERAL'!$A$1:$AK$41</definedName>
    <definedName name="_xlnm.Print_Area" localSheetId="0">'MEMÓRIA DE CÁLCULO'!$A$1:$H$54</definedName>
    <definedName name="_xlnm.Print_Area" localSheetId="1">'PLANILHA '!$B$3:$P$53</definedName>
    <definedName name="_xlnm.Print_Titles" localSheetId="0">'MEMÓRIA DE CÁLCULO'!$1:$15</definedName>
  </definedNames>
  <calcPr fullCalcOnLoad="1"/>
</workbook>
</file>

<file path=xl/comments1.xml><?xml version="1.0" encoding="utf-8"?>
<comments xmlns="http://schemas.openxmlformats.org/spreadsheetml/2006/main">
  <authors>
    <author>administrador</author>
    <author>Silvio Carlos Batista Jorge</author>
  </authors>
  <commentList>
    <comment ref="G11" authorId="0">
      <text>
        <r>
          <rPr>
            <sz val="8"/>
            <rFont val="Tahoma"/>
            <family val="0"/>
          </rPr>
          <t>Inserir a % mínima exigida</t>
        </r>
      </text>
    </comment>
    <comment ref="G9" authorId="0">
      <text>
        <r>
          <rPr>
            <b/>
            <sz val="8"/>
            <rFont val="Tahoma"/>
            <family val="0"/>
          </rPr>
          <t>Fundo vermelho:</t>
        </r>
        <r>
          <rPr>
            <sz val="8"/>
            <rFont val="Tahoma"/>
            <family val="0"/>
          </rPr>
          <t xml:space="preserve">
Significa que a CP é menor do que o mínimo definido na célula abaixo</t>
        </r>
      </text>
    </comment>
    <comment ref="H54" authorId="0">
      <text>
        <r>
          <rPr>
            <sz val="8"/>
            <rFont val="Tahoma"/>
            <family val="0"/>
          </rPr>
          <t>Data da última atualização.
PCI.817.01 - CUSTO DE COMPOSIÇÕES - SINTÉTICO EMISSãO: 19/02/2010 AS 14:18:03</t>
        </r>
      </text>
    </comment>
    <comment ref="H13" authorId="0">
      <text>
        <r>
          <rPr>
            <sz val="8"/>
            <rFont val="Tahoma"/>
            <family val="2"/>
          </rPr>
          <t>Marcar apenas uma opção</t>
        </r>
      </text>
    </comment>
    <comment ref="B13" authorId="1">
      <text>
        <r>
          <rPr>
            <sz val="8"/>
            <rFont val="Tahoma"/>
            <family val="0"/>
          </rPr>
          <t>A área a ser reperfilada deve ser calculada separadamente e inserida aqui.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W24" authorId="0">
      <text>
        <r>
          <rPr>
            <sz val="8"/>
            <rFont val="Tahoma"/>
            <family val="0"/>
          </rPr>
          <t>Valor médio utilizado  para a capa CBUQ         3 cm</t>
        </r>
      </text>
    </comment>
  </commentList>
</comments>
</file>

<file path=xl/sharedStrings.xml><?xml version="1.0" encoding="utf-8"?>
<sst xmlns="http://schemas.openxmlformats.org/spreadsheetml/2006/main" count="333" uniqueCount="238">
  <si>
    <t>PLANILHA ORÇAMENTÁRIA</t>
  </si>
  <si>
    <t>ITEM</t>
  </si>
  <si>
    <t>DISCRIMINAÇÃO</t>
  </si>
  <si>
    <t>QUANT.</t>
  </si>
  <si>
    <t>UN</t>
  </si>
  <si>
    <t>TOTAL</t>
  </si>
  <si>
    <t>m²</t>
  </si>
  <si>
    <t>DATA:</t>
  </si>
  <si>
    <t>3.1</t>
  </si>
  <si>
    <t>Item</t>
  </si>
  <si>
    <t>Discriminação</t>
  </si>
  <si>
    <t>Recursos União</t>
  </si>
  <si>
    <t>Contrapartida</t>
  </si>
  <si>
    <t>Data</t>
  </si>
  <si>
    <t>Cronograma</t>
  </si>
  <si>
    <t>Programa</t>
  </si>
  <si>
    <t>Modalidade</t>
  </si>
  <si>
    <t>Global</t>
  </si>
  <si>
    <t>Individual</t>
  </si>
  <si>
    <t>Agente Financeiro</t>
  </si>
  <si>
    <t>Empresa</t>
  </si>
  <si>
    <t>Valor do Repasse - R$</t>
  </si>
  <si>
    <t xml:space="preserve">Início da Obra </t>
  </si>
  <si>
    <t>Localização</t>
  </si>
  <si>
    <t>Tipo de Serviço</t>
  </si>
  <si>
    <t>Discriminação dos Serviços</t>
  </si>
  <si>
    <t xml:space="preserve">Peso </t>
  </si>
  <si>
    <t>Vl. Obras/Serviços</t>
  </si>
  <si>
    <t>Mês 01</t>
  </si>
  <si>
    <t>Mês 02</t>
  </si>
  <si>
    <t>Mês 03</t>
  </si>
  <si>
    <t>%</t>
  </si>
  <si>
    <t>R$</t>
  </si>
  <si>
    <t>Concedente</t>
  </si>
  <si>
    <t>Proponente</t>
  </si>
  <si>
    <t>Total</t>
  </si>
  <si>
    <t>Simples</t>
  </si>
  <si>
    <t>Acumulado</t>
  </si>
  <si>
    <t>3.2</t>
  </si>
  <si>
    <t>3.3</t>
  </si>
  <si>
    <t>PESO %</t>
  </si>
  <si>
    <t>Mês 04</t>
  </si>
  <si>
    <t>PARAMETRO SINAPI</t>
  </si>
  <si>
    <t>INCLUSIVE BDI=30%</t>
  </si>
  <si>
    <t>Custo médio por família</t>
  </si>
  <si>
    <t>RESPONSÁVEL TÉCNICO</t>
  </si>
  <si>
    <t>MEMÓRIA DE CÁLCULO</t>
  </si>
  <si>
    <t xml:space="preserve">DIMENSÕES (M): </t>
  </si>
  <si>
    <t>LOGRADOUROS:</t>
  </si>
  <si>
    <t>ÁREA (M2)</t>
  </si>
  <si>
    <t>LARGURA (M)</t>
  </si>
  <si>
    <t>COMPRIMENTO (M)</t>
  </si>
  <si>
    <t>LOGRADOUROS</t>
  </si>
  <si>
    <t>CONCORDÂNCIAS</t>
  </si>
  <si>
    <t>Total de vias</t>
  </si>
  <si>
    <t>Total de concordâncias</t>
  </si>
  <si>
    <t>Área  total de interferência - m²</t>
  </si>
  <si>
    <t>Investimento</t>
  </si>
  <si>
    <t>Repasse</t>
  </si>
  <si>
    <t xml:space="preserve">Contrato </t>
  </si>
  <si>
    <t>P.UNIT</t>
  </si>
  <si>
    <t>V. ITEM</t>
  </si>
  <si>
    <r>
      <t xml:space="preserve">Modelo a ser utilizado quando a contrapartida da Prefeitura for </t>
    </r>
    <r>
      <rPr>
        <b/>
        <u val="single"/>
        <sz val="10"/>
        <rFont val="Arial"/>
        <family val="2"/>
      </rPr>
      <t>financeira</t>
    </r>
  </si>
  <si>
    <t>Objeto Contratado</t>
  </si>
  <si>
    <t>CUSTO C/ BDI DE</t>
  </si>
  <si>
    <t xml:space="preserve">CUSTO SEM BDI </t>
  </si>
  <si>
    <t>Cronograma Físico-Financeiro - Recursos do OGU - Setor Público - Modelo 1-B</t>
  </si>
  <si>
    <t>Familias beneficiadas - nº</t>
  </si>
  <si>
    <t>Local:</t>
  </si>
  <si>
    <t>Obra:</t>
  </si>
  <si>
    <t>Data (DD/MM/AA)</t>
  </si>
  <si>
    <t>COD SINAPI</t>
  </si>
  <si>
    <t>Municipio: (MAIÚSCULA)</t>
  </si>
  <si>
    <t>QCI - Quadro de Composição do Investimento - OGU - Setor Público</t>
  </si>
  <si>
    <t>1 - Identificação</t>
  </si>
  <si>
    <t>Empreendimento</t>
  </si>
  <si>
    <t>Agente Executor</t>
  </si>
  <si>
    <t>2 - Composição do Investimento</t>
  </si>
  <si>
    <t>Investimento Total (R$)</t>
  </si>
  <si>
    <t>Total (R$)</t>
  </si>
  <si>
    <t>Outras Fontes</t>
  </si>
  <si>
    <t>,</t>
  </si>
  <si>
    <t>Local/Data</t>
  </si>
  <si>
    <t>Assinatura do representante da equipe técnica</t>
  </si>
  <si>
    <t>Assinatura do representante legal - Agente executor</t>
  </si>
  <si>
    <t>Nome:</t>
  </si>
  <si>
    <t>Cargo:</t>
  </si>
  <si>
    <t>CBUQ</t>
  </si>
  <si>
    <t>TSD</t>
  </si>
  <si>
    <t>Tipo de recape</t>
  </si>
  <si>
    <t>Área de Recape</t>
  </si>
  <si>
    <t>Marcar 1 na opção ▼</t>
  </si>
  <si>
    <t xml:space="preserve">Prefeitura Municipal de  </t>
  </si>
  <si>
    <t>Programa:</t>
  </si>
  <si>
    <t>Modalidade:</t>
  </si>
  <si>
    <t>CAIXA ECONOMICA FEDERAL</t>
  </si>
  <si>
    <t>TIPO DE EMPREITADA</t>
  </si>
  <si>
    <t>GLOBAL</t>
  </si>
  <si>
    <t>ADMINISTRA.</t>
  </si>
  <si>
    <t>PMF</t>
  </si>
  <si>
    <t>Pintura de placa Transito - m²</t>
  </si>
  <si>
    <t>Placa de obra - m²</t>
  </si>
  <si>
    <t xml:space="preserve">    %     CP / VI</t>
  </si>
  <si>
    <t>Contra partida mínima - %</t>
  </si>
  <si>
    <t>Pintura solo Trânsito - m²</t>
  </si>
  <si>
    <t>Contratado</t>
  </si>
  <si>
    <t>Contrato de repasse nº      </t>
  </si>
  <si>
    <t xml:space="preserve">Prefeitura Municipal de </t>
  </si>
  <si>
    <t>Período de:</t>
  </si>
  <si>
    <t>a</t>
  </si>
  <si>
    <t xml:space="preserve">MARCAR O NÚMERO DA MEDIÇÃO (1 a 4)  ▼          </t>
  </si>
  <si>
    <t>Meta</t>
  </si>
  <si>
    <t>Etapa / Fase</t>
  </si>
  <si>
    <t>Descrição</t>
  </si>
  <si>
    <t>Físico</t>
  </si>
  <si>
    <t>MEDIÇÃO   Nº</t>
  </si>
  <si>
    <t>Unidade</t>
  </si>
  <si>
    <t>No período</t>
  </si>
  <si>
    <t>Até o período</t>
  </si>
  <si>
    <t>EXECUTADO EM CADA PERÍODO (REAL)</t>
  </si>
  <si>
    <t>Prog.</t>
  </si>
  <si>
    <t>Exec.</t>
  </si>
  <si>
    <t>1ª Med</t>
  </si>
  <si>
    <t>2ª Med</t>
  </si>
  <si>
    <t>3ª Med</t>
  </si>
  <si>
    <t>4ª Med</t>
  </si>
  <si>
    <t>ACUMULADO</t>
  </si>
  <si>
    <t>     </t>
  </si>
  <si>
    <t>TABELA AUXILIAR</t>
  </si>
  <si>
    <t>Financeiro</t>
  </si>
  <si>
    <t>Realizado no período</t>
  </si>
  <si>
    <t>Realizado até o período</t>
  </si>
  <si>
    <t>Contra-partida</t>
  </si>
  <si>
    <t>Outros</t>
  </si>
  <si>
    <t>Pref. Mun. de</t>
  </si>
  <si>
    <t>Responsável técnico pela execução do empreendimento</t>
  </si>
  <si>
    <t>1 med</t>
  </si>
  <si>
    <t>2 med</t>
  </si>
  <si>
    <t>3 med</t>
  </si>
  <si>
    <t xml:space="preserve">4 med </t>
  </si>
  <si>
    <t>Quant. placas trans. postes- un</t>
  </si>
  <si>
    <t>Transporte de CBUQ/PMF km</t>
  </si>
  <si>
    <t>SERVICOS INICIAIS</t>
  </si>
  <si>
    <t>Tab DER 83,91/m de tubo x 2,5 m=209,77</t>
  </si>
  <si>
    <t>4.1</t>
  </si>
  <si>
    <t>26556/28</t>
  </si>
  <si>
    <t>4 cm</t>
  </si>
  <si>
    <t>26556/29</t>
  </si>
  <si>
    <t>5 cm</t>
  </si>
  <si>
    <t>CUSTO CBUQ 3 CM</t>
  </si>
  <si>
    <t>PMF -Considerada espes. de 4 cm para atingir 3 cm compactado</t>
  </si>
  <si>
    <t>4cm</t>
  </si>
  <si>
    <t>26556/12</t>
  </si>
  <si>
    <t>26556/14</t>
  </si>
  <si>
    <t>26556/15</t>
  </si>
  <si>
    <t>26556/16</t>
  </si>
  <si>
    <t>26556/18</t>
  </si>
  <si>
    <t>26556/20</t>
  </si>
  <si>
    <t>26556/21</t>
  </si>
  <si>
    <t>26556/22</t>
  </si>
  <si>
    <t>Custo 3 cm  (%*4 cm)</t>
  </si>
  <si>
    <t>Custo %   4 cm / 5 cm</t>
  </si>
  <si>
    <t>74209/001</t>
  </si>
  <si>
    <t>REF</t>
  </si>
  <si>
    <t>SIN. HORIZ. C/ TINTA RETRORREFLETIVA A BASE DE RESINA ACRILICA</t>
  </si>
  <si>
    <t>Gestão da Política de Desenvolvimento</t>
  </si>
  <si>
    <t>X</t>
  </si>
  <si>
    <t>Pintura de ligação:</t>
  </si>
  <si>
    <t>marcar 1 na opção</t>
  </si>
  <si>
    <t>RR1C</t>
  </si>
  <si>
    <t>RR2C</t>
  </si>
  <si>
    <t>V.03.11.09</t>
  </si>
  <si>
    <t>Recapeamento asfáltico - cbuq</t>
  </si>
  <si>
    <t>TST</t>
  </si>
  <si>
    <t>m³xkm</t>
  </si>
  <si>
    <t>Área de Reperfilagem -BINDER</t>
  </si>
  <si>
    <t>UBIRAJARA</t>
  </si>
  <si>
    <t>Rua Matias Alves Negrão</t>
  </si>
  <si>
    <t>Rua Vital Alves Negrão</t>
  </si>
  <si>
    <t>Rua Profª Maria do Carmo S. C. Queiroz</t>
  </si>
  <si>
    <t>Rua Dona Maria Jacinta</t>
  </si>
  <si>
    <t>Rua Prefº José Ferreira Dias</t>
  </si>
  <si>
    <t>Rua Ver. Antonio Luiz dos Santos</t>
  </si>
  <si>
    <t>Avenida João Bocarde</t>
  </si>
  <si>
    <t>Rua Capitão Francelino</t>
  </si>
  <si>
    <t>Rua Ver. Osvaldo Veronez</t>
  </si>
  <si>
    <t>Rua Major Leonidas Vieira</t>
  </si>
  <si>
    <t>Rua Segundo Bocarde</t>
  </si>
  <si>
    <t>DIVERSAS RUAS DO MUNICÍPIO DE UBIRAJARA</t>
  </si>
  <si>
    <t>Infra estrutura urbana</t>
  </si>
  <si>
    <t>730160/2009</t>
  </si>
  <si>
    <t>PLACAS DE OBRAS EM CHAPA GALVANIZADO</t>
  </si>
  <si>
    <t>ESPALHAMENTO DE MATERIAL EM BOTA FORA , COM UTILIZAÇÃO DE TRATOR</t>
  </si>
  <si>
    <t xml:space="preserve">BASE PARA PAVIMENTAÇÃO COM BRITA CORRIDA, INCLUSIVE COMPACTAÇÃO </t>
  </si>
  <si>
    <t>IMPRIMAÇÃO DE BASE DE PAVIMENTAÇÃO COM EMULSÃO CM-30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</si>
  <si>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</si>
  <si>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</si>
  <si>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</si>
  <si>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</si>
  <si>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</si>
  <si>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</si>
  <si>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</si>
  <si>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</si>
  <si>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</si>
  <si>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RECAPEAMENTO ASFALTICO</t>
  </si>
  <si>
    <t>73806/001</t>
  </si>
  <si>
    <t>72881</t>
  </si>
  <si>
    <t>3.4</t>
  </si>
  <si>
    <t>72965</t>
  </si>
  <si>
    <t>FABRICAÇÃO E APLICAÇÃO DE CONCRETO BETUMINOSO USINADO A QUENTE(CBUQ)</t>
  </si>
  <si>
    <t xml:space="preserve">SINALIZAÇÃO </t>
  </si>
  <si>
    <t>CREA Nº. 0600542176</t>
  </si>
  <si>
    <t>EVERTON OCTAVIANI</t>
  </si>
  <si>
    <t>PAVIMENTACÃO ASFALTICO</t>
  </si>
  <si>
    <t>74151/001</t>
  </si>
  <si>
    <t xml:space="preserve">ESCAVAÇAO CARGA E TRANSPORTE DE MATERIAIS </t>
  </si>
  <si>
    <t>REGULARIZAÇÃO E COMPACTAÇÃO DE SUB LEITO</t>
  </si>
  <si>
    <t>TRANSPORTE LOCAL COM CAMINHÕES BASCULANTE 6m³ EM ROD.PAVIMENTADA</t>
  </si>
  <si>
    <t>PINTURA DE LIGAÇÃO COM EMULSÃO RR-2C</t>
  </si>
  <si>
    <t>LIMPEZA DE SUPERFICIE COM JATO DE PRESSÃO DE  AR E AGUA</t>
  </si>
  <si>
    <t>72943</t>
  </si>
  <si>
    <t>PREFEITURA MUNICPAL DE AGUDOS</t>
  </si>
  <si>
    <t>OBRA: PAVIMENTAÇÃO ASFALTICA E RECAPEAMENTO - CBUQ</t>
  </si>
  <si>
    <t>LOCAL: DIVERSAS RUA DO MUNICIPIO DE AGUDOS - SP</t>
  </si>
  <si>
    <t>m³</t>
  </si>
  <si>
    <t>PASSEIO EM CONCRETO</t>
  </si>
  <si>
    <t>5.1</t>
  </si>
  <si>
    <t>PASSEIO EM CONCRETO DESEMPENADO TRAÇO 1:2,5:3,5 E ESPESSURA 5 CM</t>
  </si>
  <si>
    <t>ton</t>
  </si>
  <si>
    <t>PREFEITURA     MUNICIPAL    DE    AGUDOS</t>
  </si>
  <si>
    <t>TOTAL    GERAL    COM     BDI             -         (21,00%)</t>
  </si>
  <si>
    <t>DATA DE RERERENCIA 29/03/2.016   -  TABELA  SINAPI  SEM  DESONERAÇÃO</t>
  </si>
  <si>
    <t>SUB  TOTAL</t>
  </si>
  <si>
    <t>AREA DE PAVIMENTAÇÃO :            2.205,00  M²</t>
  </si>
  <si>
    <t>AREA DE RECAPE:                          38.247,00 M²</t>
  </si>
  <si>
    <t>AREA DO PASSEIO :                        1.250,00 M²</t>
  </si>
  <si>
    <t>ENGº    AGOSTINHO DE BARROS TENDOLO</t>
  </si>
  <si>
    <t xml:space="preserve"> PREFEITURA  MUNCIPAL   DE   AGUDOS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</si>
</sst>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;[Red]&quot;R$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dd/mm/yy;@"/>
    <numFmt numFmtId="180" formatCode="0.0"/>
    <numFmt numFmtId="181" formatCode="_(* #,##0.000_);_(* \(#,##0.000\);_(* &quot;-&quot;??_);_(@_)"/>
    <numFmt numFmtId="182" formatCode="_(* #,##0_);_(* \(#,##0\);_(* &quot;-&quot;??_);_(@_)"/>
    <numFmt numFmtId="183" formatCode="0.00000"/>
    <numFmt numFmtId="184" formatCode="0.000"/>
    <numFmt numFmtId="185" formatCode="0.0000"/>
    <numFmt numFmtId="186" formatCode="&quot;R$ &quot;#,##0.00"/>
    <numFmt numFmtId="187" formatCode="00000"/>
    <numFmt numFmtId="188" formatCode="[$-416]dddd\,\ d&quot; de &quot;mmmm&quot; de &quot;yyyy"/>
    <numFmt numFmtId="189" formatCode="d/m/yy;@"/>
    <numFmt numFmtId="190" formatCode="[$-416]d\ \ mmmm\,\ yyyy;@"/>
  </numFmts>
  <fonts count="78">
    <font>
      <sz val="10"/>
      <name val="Arial"/>
      <family val="0"/>
    </font>
    <font>
      <b/>
      <sz val="12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7.5"/>
      <name val="Arial"/>
      <family val="2"/>
    </font>
    <font>
      <sz val="9"/>
      <name val="Arial Narrow"/>
      <family val="2"/>
    </font>
    <font>
      <sz val="12"/>
      <name val="Swis721 Md BT"/>
      <family val="2"/>
    </font>
    <font>
      <sz val="11"/>
      <name val="Swis721 Md BT"/>
      <family val="2"/>
    </font>
    <font>
      <b/>
      <sz val="12"/>
      <name val="Swis721 Md BT"/>
      <family val="2"/>
    </font>
    <font>
      <sz val="12"/>
      <name val="Verdana"/>
      <family val="2"/>
    </font>
    <font>
      <b/>
      <sz val="11"/>
      <color indexed="10"/>
      <name val="Arial"/>
      <family val="2"/>
    </font>
    <font>
      <sz val="10"/>
      <color indexed="22"/>
      <name val="Arial"/>
      <family val="0"/>
    </font>
    <font>
      <sz val="14"/>
      <name val="Arial"/>
      <family val="0"/>
    </font>
    <font>
      <b/>
      <sz val="22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sz val="20"/>
      <name val="Arial"/>
      <family val="0"/>
    </font>
    <font>
      <b/>
      <sz val="10"/>
      <name val="Arial Narrow"/>
      <family val="2"/>
    </font>
    <font>
      <sz val="9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color indexed="10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4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4" fontId="13" fillId="0" borderId="12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50" applyFont="1" applyBorder="1" applyAlignment="1" applyProtection="1">
      <alignment vertical="top"/>
      <protection/>
    </xf>
    <xf numFmtId="0" fontId="6" fillId="0" borderId="0" xfId="50" applyFont="1" applyBorder="1" applyAlignment="1" applyProtection="1">
      <alignment vertical="top"/>
      <protection/>
    </xf>
    <xf numFmtId="4" fontId="6" fillId="0" borderId="0" xfId="0" applyNumberFormat="1" applyFont="1" applyBorder="1" applyAlignment="1" applyProtection="1">
      <alignment horizontal="left" vertical="top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4" fontId="13" fillId="0" borderId="0" xfId="0" applyNumberFormat="1" applyFont="1" applyFill="1" applyBorder="1" applyAlignment="1" applyProtection="1">
      <alignment/>
      <protection/>
    </xf>
    <xf numFmtId="4" fontId="12" fillId="0" borderId="15" xfId="0" applyNumberFormat="1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4" fontId="12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0" fontId="6" fillId="0" borderId="17" xfId="0" applyFont="1" applyBorder="1" applyAlignment="1" applyProtection="1">
      <alignment horizontal="left" vertical="top"/>
      <protection/>
    </xf>
    <xf numFmtId="4" fontId="6" fillId="0" borderId="17" xfId="0" applyNumberFormat="1" applyFont="1" applyBorder="1" applyAlignment="1" applyProtection="1">
      <alignment horizontal="right" vertical="top" indent="1"/>
      <protection/>
    </xf>
    <xf numFmtId="0" fontId="6" fillId="0" borderId="18" xfId="0" applyFont="1" applyBorder="1" applyAlignment="1" applyProtection="1">
      <alignment horizontal="left" vertical="top"/>
      <protection/>
    </xf>
    <xf numFmtId="4" fontId="6" fillId="0" borderId="18" xfId="0" applyNumberFormat="1" applyFont="1" applyBorder="1" applyAlignment="1" applyProtection="1">
      <alignment horizontal="right" vertical="top" indent="1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1" fontId="0" fillId="0" borderId="0" xfId="63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171" fontId="0" fillId="0" borderId="0" xfId="63" applyFont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171" fontId="3" fillId="0" borderId="0" xfId="63" applyFont="1" applyBorder="1" applyAlignment="1" applyProtection="1">
      <alignment/>
      <protection/>
    </xf>
    <xf numFmtId="170" fontId="3" fillId="0" borderId="0" xfId="47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70" fontId="1" fillId="0" borderId="22" xfId="47" applyFont="1" applyBorder="1" applyAlignment="1" applyProtection="1">
      <alignment horizontal="center"/>
      <protection/>
    </xf>
    <xf numFmtId="170" fontId="3" fillId="0" borderId="20" xfId="47" applyFont="1" applyBorder="1" applyAlignment="1" applyProtection="1">
      <alignment horizontal="centerContinuous"/>
      <protection/>
    </xf>
    <xf numFmtId="4" fontId="1" fillId="0" borderId="23" xfId="0" applyNumberFormat="1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17" fontId="1" fillId="0" borderId="19" xfId="47" applyNumberFormat="1" applyFont="1" applyFill="1" applyBorder="1" applyAlignment="1" applyProtection="1">
      <alignment horizontal="left"/>
      <protection/>
    </xf>
    <xf numFmtId="170" fontId="3" fillId="0" borderId="19" xfId="47" applyFont="1" applyBorder="1" applyAlignment="1" applyProtection="1">
      <alignment horizontal="centerContinuous"/>
      <protection/>
    </xf>
    <xf numFmtId="0" fontId="0" fillId="0" borderId="20" xfId="0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/>
      <protection/>
    </xf>
    <xf numFmtId="171" fontId="1" fillId="0" borderId="19" xfId="63" applyFont="1" applyBorder="1" applyAlignment="1" applyProtection="1">
      <alignment horizontal="left"/>
      <protection/>
    </xf>
    <xf numFmtId="17" fontId="1" fillId="0" borderId="19" xfId="47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49" fontId="0" fillId="0" borderId="26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171" fontId="1" fillId="0" borderId="22" xfId="63" applyFont="1" applyBorder="1" applyAlignment="1" applyProtection="1">
      <alignment horizontal="left"/>
      <protection/>
    </xf>
    <xf numFmtId="170" fontId="1" fillId="0" borderId="22" xfId="47" applyFont="1" applyBorder="1" applyAlignment="1" applyProtection="1">
      <alignment horizontal="centerContinuous"/>
      <protection/>
    </xf>
    <xf numFmtId="170" fontId="3" fillId="0" borderId="22" xfId="47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 vertical="center"/>
      <protection/>
    </xf>
    <xf numFmtId="4" fontId="1" fillId="0" borderId="24" xfId="0" applyNumberFormat="1" applyFont="1" applyBorder="1" applyAlignment="1" applyProtection="1">
      <alignment horizontal="center" vertical="center"/>
      <protection/>
    </xf>
    <xf numFmtId="171" fontId="1" fillId="0" borderId="24" xfId="63" applyFont="1" applyBorder="1" applyAlignment="1" applyProtection="1">
      <alignment horizontal="center"/>
      <protection/>
    </xf>
    <xf numFmtId="170" fontId="1" fillId="0" borderId="27" xfId="47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70" fontId="16" fillId="0" borderId="27" xfId="47" applyFon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/>
      <protection/>
    </xf>
    <xf numFmtId="1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170" fontId="16" fillId="0" borderId="22" xfId="47" applyFon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49" fontId="0" fillId="0" borderId="31" xfId="0" applyNumberFormat="1" applyBorder="1" applyAlignment="1" applyProtection="1">
      <alignment/>
      <protection/>
    </xf>
    <xf numFmtId="4" fontId="13" fillId="0" borderId="32" xfId="0" applyNumberFormat="1" applyFont="1" applyFill="1" applyBorder="1" applyAlignment="1" applyProtection="1">
      <alignment horizontal="right"/>
      <protection/>
    </xf>
    <xf numFmtId="4" fontId="13" fillId="0" borderId="16" xfId="0" applyNumberFormat="1" applyFont="1" applyFill="1" applyBorder="1" applyAlignment="1" applyProtection="1">
      <alignment horizontal="right"/>
      <protection/>
    </xf>
    <xf numFmtId="4" fontId="13" fillId="0" borderId="33" xfId="0" applyNumberFormat="1" applyFont="1" applyFill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" fontId="6" fillId="0" borderId="0" xfId="63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1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4" fontId="8" fillId="0" borderId="0" xfId="63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" fontId="6" fillId="0" borderId="0" xfId="63" applyNumberFormat="1" applyFont="1" applyAlignment="1" applyProtection="1">
      <alignment/>
      <protection locked="0"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4" fontId="6" fillId="0" borderId="35" xfId="63" applyNumberFormat="1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6" fillId="0" borderId="0" xfId="63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4" fontId="6" fillId="0" borderId="40" xfId="63" applyNumberFormat="1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171" fontId="11" fillId="0" borderId="0" xfId="63" applyFont="1" applyBorder="1" applyAlignment="1" applyProtection="1">
      <alignment horizontal="right"/>
      <protection/>
    </xf>
    <xf numFmtId="171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4" fontId="6" fillId="0" borderId="13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0" fontId="11" fillId="0" borderId="0" xfId="63" applyNumberFormat="1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71" fontId="11" fillId="0" borderId="0" xfId="63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4" fontId="6" fillId="0" borderId="0" xfId="63" applyNumberFormat="1" applyFont="1" applyFill="1" applyBorder="1" applyAlignment="1" applyProtection="1">
      <alignment/>
      <protection/>
    </xf>
    <xf numFmtId="4" fontId="6" fillId="0" borderId="41" xfId="63" applyNumberFormat="1" applyFont="1" applyFill="1" applyBorder="1" applyAlignment="1" applyProtection="1">
      <alignment/>
      <protection/>
    </xf>
    <xf numFmtId="10" fontId="11" fillId="0" borderId="14" xfId="0" applyNumberFormat="1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47" xfId="0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Border="1" applyAlignment="1" applyProtection="1">
      <alignment horizontal="center"/>
      <protection/>
    </xf>
    <xf numFmtId="1" fontId="12" fillId="0" borderId="50" xfId="0" applyNumberFormat="1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/>
      <protection/>
    </xf>
    <xf numFmtId="1" fontId="13" fillId="0" borderId="51" xfId="0" applyNumberFormat="1" applyFont="1" applyFill="1" applyBorder="1" applyAlignment="1" applyProtection="1">
      <alignment horizontal="center"/>
      <protection/>
    </xf>
    <xf numFmtId="1" fontId="13" fillId="0" borderId="11" xfId="0" applyNumberFormat="1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right"/>
      <protection/>
    </xf>
    <xf numFmtId="0" fontId="13" fillId="0" borderId="32" xfId="0" applyFont="1" applyBorder="1" applyAlignment="1" applyProtection="1">
      <alignment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/>
      <protection/>
    </xf>
    <xf numFmtId="4" fontId="1" fillId="0" borderId="25" xfId="0" applyNumberFormat="1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1" fontId="13" fillId="0" borderId="52" xfId="0" applyNumberFormat="1" applyFont="1" applyFill="1" applyBorder="1" applyAlignment="1" applyProtection="1">
      <alignment horizontal="center"/>
      <protection/>
    </xf>
    <xf numFmtId="10" fontId="11" fillId="0" borderId="53" xfId="0" applyNumberFormat="1" applyFont="1" applyBorder="1" applyAlignment="1" applyProtection="1">
      <alignment/>
      <protection/>
    </xf>
    <xf numFmtId="171" fontId="11" fillId="34" borderId="54" xfId="63" applyFont="1" applyFill="1" applyBorder="1" applyAlignment="1" applyProtection="1">
      <alignment/>
      <protection locked="0"/>
    </xf>
    <xf numFmtId="4" fontId="11" fillId="34" borderId="54" xfId="63" applyNumberFormat="1" applyFont="1" applyFill="1" applyBorder="1" applyAlignment="1" applyProtection="1">
      <alignment/>
      <protection locked="0"/>
    </xf>
    <xf numFmtId="171" fontId="11" fillId="34" borderId="55" xfId="63" applyFont="1" applyFill="1" applyBorder="1" applyAlignment="1" applyProtection="1">
      <alignment/>
      <protection locked="0"/>
    </xf>
    <xf numFmtId="10" fontId="11" fillId="0" borderId="56" xfId="0" applyNumberFormat="1" applyFont="1" applyBorder="1" applyAlignment="1" applyProtection="1">
      <alignment/>
      <protection/>
    </xf>
    <xf numFmtId="171" fontId="11" fillId="34" borderId="57" xfId="63" applyFont="1" applyFill="1" applyBorder="1" applyAlignment="1" applyProtection="1">
      <alignment/>
      <protection locked="0"/>
    </xf>
    <xf numFmtId="4" fontId="11" fillId="34" borderId="57" xfId="63" applyNumberFormat="1" applyFont="1" applyFill="1" applyBorder="1" applyAlignment="1" applyProtection="1">
      <alignment/>
      <protection locked="0"/>
    </xf>
    <xf numFmtId="171" fontId="11" fillId="34" borderId="58" xfId="63" applyFont="1" applyFill="1" applyBorder="1" applyAlignment="1" applyProtection="1">
      <alignment/>
      <protection locked="0"/>
    </xf>
    <xf numFmtId="171" fontId="11" fillId="0" borderId="56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0" fontId="19" fillId="0" borderId="59" xfId="63" applyNumberFormat="1" applyFont="1" applyBorder="1" applyAlignment="1" applyProtection="1">
      <alignment/>
      <protection/>
    </xf>
    <xf numFmtId="10" fontId="19" fillId="0" borderId="59" xfId="0" applyNumberFormat="1" applyFont="1" applyBorder="1" applyAlignment="1" applyProtection="1">
      <alignment/>
      <protection/>
    </xf>
    <xf numFmtId="171" fontId="11" fillId="0" borderId="60" xfId="0" applyNumberFormat="1" applyFont="1" applyBorder="1" applyAlignment="1" applyProtection="1">
      <alignment/>
      <protection/>
    </xf>
    <xf numFmtId="171" fontId="11" fillId="34" borderId="61" xfId="63" applyFont="1" applyFill="1" applyBorder="1" applyAlignment="1" applyProtection="1">
      <alignment/>
      <protection locked="0"/>
    </xf>
    <xf numFmtId="4" fontId="11" fillId="34" borderId="61" xfId="63" applyNumberFormat="1" applyFont="1" applyFill="1" applyBorder="1" applyAlignment="1" applyProtection="1">
      <alignment/>
      <protection locked="0"/>
    </xf>
    <xf numFmtId="171" fontId="11" fillId="34" borderId="62" xfId="63" applyFont="1" applyFill="1" applyBorder="1" applyAlignment="1" applyProtection="1">
      <alignment/>
      <protection locked="0"/>
    </xf>
    <xf numFmtId="10" fontId="19" fillId="0" borderId="54" xfId="63" applyNumberFormat="1" applyFont="1" applyBorder="1" applyAlignment="1" applyProtection="1">
      <alignment/>
      <protection/>
    </xf>
    <xf numFmtId="0" fontId="0" fillId="34" borderId="63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4" fontId="0" fillId="34" borderId="65" xfId="0" applyNumberFormat="1" applyFill="1" applyBorder="1" applyAlignment="1" applyProtection="1">
      <alignment horizontal="center"/>
      <protection locked="0"/>
    </xf>
    <xf numFmtId="3" fontId="0" fillId="34" borderId="65" xfId="0" applyNumberFormat="1" applyFill="1" applyBorder="1" applyAlignment="1" applyProtection="1">
      <alignment horizontal="center"/>
      <protection locked="0"/>
    </xf>
    <xf numFmtId="0" fontId="6" fillId="0" borderId="0" xfId="5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center"/>
      <protection/>
    </xf>
    <xf numFmtId="4" fontId="0" fillId="0" borderId="66" xfId="0" applyNumberFormat="1" applyBorder="1" applyAlignment="1" applyProtection="1">
      <alignment/>
      <protection/>
    </xf>
    <xf numFmtId="179" fontId="0" fillId="34" borderId="41" xfId="0" applyNumberFormat="1" applyFill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 horizontal="center"/>
      <protection/>
    </xf>
    <xf numFmtId="179" fontId="0" fillId="34" borderId="42" xfId="0" applyNumberForma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37" xfId="0" applyFont="1" applyBorder="1" applyAlignment="1" applyProtection="1">
      <alignment horizontal="center"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4" fontId="6" fillId="0" borderId="41" xfId="0" applyNumberFormat="1" applyFont="1" applyBorder="1" applyAlignment="1" applyProtection="1">
      <alignment horizontal="center" vertical="top" wrapText="1"/>
      <protection/>
    </xf>
    <xf numFmtId="0" fontId="28" fillId="34" borderId="45" xfId="0" applyFont="1" applyFill="1" applyBorder="1" applyAlignment="1" applyProtection="1">
      <alignment horizontal="center" vertical="center"/>
      <protection locked="0"/>
    </xf>
    <xf numFmtId="4" fontId="6" fillId="0" borderId="43" xfId="0" applyNumberFormat="1" applyFont="1" applyBorder="1" applyAlignment="1" applyProtection="1">
      <alignment horizontal="center" vertical="top" wrapText="1"/>
      <protection/>
    </xf>
    <xf numFmtId="4" fontId="6" fillId="0" borderId="63" xfId="0" applyNumberFormat="1" applyFont="1" applyBorder="1" applyAlignment="1" applyProtection="1">
      <alignment horizontal="center" vertical="top" wrapText="1"/>
      <protection/>
    </xf>
    <xf numFmtId="0" fontId="6" fillId="0" borderId="66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4" fontId="6" fillId="0" borderId="41" xfId="0" applyNumberFormat="1" applyFont="1" applyBorder="1" applyAlignment="1" applyProtection="1">
      <alignment vertical="top" wrapText="1"/>
      <protection/>
    </xf>
    <xf numFmtId="4" fontId="6" fillId="0" borderId="42" xfId="0" applyNumberFormat="1" applyFont="1" applyBorder="1" applyAlignment="1" applyProtection="1">
      <alignment vertical="top" wrapText="1"/>
      <protection/>
    </xf>
    <xf numFmtId="4" fontId="6" fillId="0" borderId="17" xfId="0" applyNumberFormat="1" applyFont="1" applyBorder="1" applyAlignment="1" applyProtection="1">
      <alignment vertical="top" wrapText="1"/>
      <protection/>
    </xf>
    <xf numFmtId="4" fontId="6" fillId="0" borderId="18" xfId="0" applyNumberFormat="1" applyFont="1" applyBorder="1" applyAlignment="1" applyProtection="1">
      <alignment horizontal="center" vertical="top" wrapText="1"/>
      <protection/>
    </xf>
    <xf numFmtId="4" fontId="6" fillId="0" borderId="35" xfId="0" applyNumberFormat="1" applyFont="1" applyBorder="1" applyAlignment="1" applyProtection="1">
      <alignment horizontal="center" vertical="top" wrapText="1"/>
      <protection/>
    </xf>
    <xf numFmtId="0" fontId="11" fillId="0" borderId="4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center"/>
      <protection/>
    </xf>
    <xf numFmtId="1" fontId="6" fillId="0" borderId="37" xfId="0" applyNumberFormat="1" applyFont="1" applyBorder="1" applyAlignment="1" applyProtection="1">
      <alignment horizontal="center" vertical="top" wrapText="1"/>
      <protection/>
    </xf>
    <xf numFmtId="4" fontId="6" fillId="0" borderId="37" xfId="0" applyNumberFormat="1" applyFont="1" applyBorder="1" applyAlignment="1" applyProtection="1">
      <alignment horizontal="center" vertical="top" wrapText="1"/>
      <protection/>
    </xf>
    <xf numFmtId="4" fontId="6" fillId="0" borderId="0" xfId="0" applyNumberFormat="1" applyFont="1" applyBorder="1" applyAlignment="1" applyProtection="1">
      <alignment horizontal="center" vertical="top" wrapText="1"/>
      <protection/>
    </xf>
    <xf numFmtId="4" fontId="6" fillId="0" borderId="37" xfId="0" applyNumberFormat="1" applyFont="1" applyFill="1" applyBorder="1" applyAlignment="1" applyProtection="1">
      <alignment horizontal="center" vertical="top" wrapText="1"/>
      <protection/>
    </xf>
    <xf numFmtId="4" fontId="6" fillId="0" borderId="14" xfId="0" applyNumberFormat="1" applyFont="1" applyFill="1" applyBorder="1" applyAlignment="1" applyProtection="1">
      <alignment horizontal="center" vertical="top" wrapText="1"/>
      <protection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 horizontal="center"/>
      <protection/>
    </xf>
    <xf numFmtId="0" fontId="30" fillId="35" borderId="68" xfId="0" applyFont="1" applyFill="1" applyBorder="1" applyAlignment="1" applyProtection="1">
      <alignment horizontal="center"/>
      <protection/>
    </xf>
    <xf numFmtId="0" fontId="29" fillId="35" borderId="68" xfId="0" applyFont="1" applyFill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horizontal="center" vertical="top" wrapText="1"/>
      <protection/>
    </xf>
    <xf numFmtId="4" fontId="6" fillId="0" borderId="17" xfId="0" applyNumberFormat="1" applyFont="1" applyFill="1" applyBorder="1" applyAlignment="1" applyProtection="1">
      <alignment horizontal="center" vertical="top" wrapText="1"/>
      <protection/>
    </xf>
    <xf numFmtId="4" fontId="6" fillId="0" borderId="42" xfId="0" applyNumberFormat="1" applyFont="1" applyFill="1" applyBorder="1" applyAlignment="1" applyProtection="1">
      <alignment horizontal="center" vertical="top" wrapText="1"/>
      <protection/>
    </xf>
    <xf numFmtId="4" fontId="6" fillId="0" borderId="0" xfId="0" applyNumberFormat="1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37" xfId="0" applyFont="1" applyBorder="1" applyAlignment="1" applyProtection="1">
      <alignment horizontal="center" vertical="top" wrapText="1"/>
      <protection/>
    </xf>
    <xf numFmtId="171" fontId="11" fillId="0" borderId="14" xfId="0" applyNumberFormat="1" applyFont="1" applyBorder="1" applyAlignment="1" applyProtection="1">
      <alignment horizontal="center" vertical="top" wrapText="1"/>
      <protection/>
    </xf>
    <xf numFmtId="4" fontId="11" fillId="0" borderId="37" xfId="0" applyNumberFormat="1" applyFont="1" applyBorder="1" applyAlignment="1" applyProtection="1">
      <alignment horizontal="center" vertical="top" wrapText="1"/>
      <protection/>
    </xf>
    <xf numFmtId="171" fontId="11" fillId="0" borderId="37" xfId="0" applyNumberFormat="1" applyFont="1" applyBorder="1" applyAlignment="1" applyProtection="1">
      <alignment horizontal="center" vertical="top" wrapText="1"/>
      <protection/>
    </xf>
    <xf numFmtId="0" fontId="11" fillId="0" borderId="66" xfId="0" applyFont="1" applyBorder="1" applyAlignment="1" applyProtection="1">
      <alignment horizontal="center" vertical="top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4" fontId="11" fillId="0" borderId="18" xfId="0" applyNumberFormat="1" applyFont="1" applyBorder="1" applyAlignment="1" applyProtection="1">
      <alignment horizontal="center" vertical="top" wrapText="1"/>
      <protection/>
    </xf>
    <xf numFmtId="4" fontId="31" fillId="0" borderId="18" xfId="0" applyNumberFormat="1" applyFont="1" applyBorder="1" applyAlignment="1" applyProtection="1">
      <alignment horizontal="center" vertical="top" wrapText="1"/>
      <protection/>
    </xf>
    <xf numFmtId="4" fontId="6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171" fontId="11" fillId="0" borderId="43" xfId="0" applyNumberFormat="1" applyFont="1" applyBorder="1" applyAlignment="1" applyProtection="1">
      <alignment/>
      <protection locked="0"/>
    </xf>
    <xf numFmtId="171" fontId="6" fillId="0" borderId="43" xfId="0" applyNumberFormat="1" applyFont="1" applyBorder="1" applyAlignment="1" applyProtection="1">
      <alignment/>
      <protection locked="0"/>
    </xf>
    <xf numFmtId="171" fontId="11" fillId="0" borderId="37" xfId="0" applyNumberFormat="1" applyFont="1" applyBorder="1" applyAlignment="1" applyProtection="1">
      <alignment/>
      <protection locked="0"/>
    </xf>
    <xf numFmtId="171" fontId="6" fillId="0" borderId="37" xfId="0" applyNumberFormat="1" applyFont="1" applyBorder="1" applyAlignment="1" applyProtection="1">
      <alignment/>
      <protection locked="0"/>
    </xf>
    <xf numFmtId="171" fontId="11" fillId="0" borderId="17" xfId="0" applyNumberFormat="1" applyFont="1" applyBorder="1" applyAlignment="1" applyProtection="1">
      <alignment/>
      <protection locked="0"/>
    </xf>
    <xf numFmtId="171" fontId="6" fillId="0" borderId="17" xfId="0" applyNumberFormat="1" applyFont="1" applyBorder="1" applyAlignment="1" applyProtection="1">
      <alignment/>
      <protection locked="0"/>
    </xf>
    <xf numFmtId="171" fontId="11" fillId="0" borderId="34" xfId="0" applyNumberFormat="1" applyFont="1" applyBorder="1" applyAlignment="1" applyProtection="1">
      <alignment/>
      <protection locked="0"/>
    </xf>
    <xf numFmtId="0" fontId="0" fillId="0" borderId="69" xfId="0" applyFill="1" applyBorder="1" applyAlignment="1" applyProtection="1">
      <alignment horizontal="center"/>
      <protection/>
    </xf>
    <xf numFmtId="0" fontId="0" fillId="0" borderId="70" xfId="0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31" fillId="0" borderId="4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49" fontId="0" fillId="0" borderId="71" xfId="0" applyNumberForma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4" fontId="0" fillId="34" borderId="4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/>
    </xf>
    <xf numFmtId="2" fontId="7" fillId="0" borderId="26" xfId="0" applyNumberFormat="1" applyFont="1" applyBorder="1" applyAlignment="1" applyProtection="1">
      <alignment horizontal="right"/>
      <protection/>
    </xf>
    <xf numFmtId="2" fontId="0" fillId="0" borderId="26" xfId="0" applyNumberFormat="1" applyFont="1" applyBorder="1" applyAlignment="1" applyProtection="1">
      <alignment horizontal="right"/>
      <protection/>
    </xf>
    <xf numFmtId="4" fontId="7" fillId="0" borderId="26" xfId="0" applyNumberFormat="1" applyFont="1" applyBorder="1" applyAlignment="1" applyProtection="1">
      <alignment horizontal="right"/>
      <protection/>
    </xf>
    <xf numFmtId="0" fontId="6" fillId="0" borderId="38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" fontId="7" fillId="0" borderId="19" xfId="0" applyNumberFormat="1" applyFont="1" applyFill="1" applyBorder="1" applyAlignment="1" applyProtection="1">
      <alignment horizontal="center"/>
      <protection locked="0"/>
    </xf>
    <xf numFmtId="0" fontId="7" fillId="34" borderId="72" xfId="0" applyFont="1" applyFill="1" applyBorder="1" applyAlignment="1" applyProtection="1">
      <alignment horizontal="left" vertical="center"/>
      <protection locked="0"/>
    </xf>
    <xf numFmtId="171" fontId="1" fillId="0" borderId="19" xfId="63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1" fontId="8" fillId="0" borderId="26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170" fontId="1" fillId="0" borderId="0" xfId="47" applyFont="1" applyBorder="1" applyAlignment="1" applyProtection="1">
      <alignment horizontal="center"/>
      <protection/>
    </xf>
    <xf numFmtId="170" fontId="1" fillId="0" borderId="26" xfId="47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73" xfId="0" applyFont="1" applyBorder="1" applyAlignment="1" applyProtection="1">
      <alignment/>
      <protection/>
    </xf>
    <xf numFmtId="0" fontId="11" fillId="0" borderId="74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76" xfId="0" applyFont="1" applyBorder="1" applyAlignment="1" applyProtection="1">
      <alignment horizontal="center"/>
      <protection/>
    </xf>
    <xf numFmtId="4" fontId="11" fillId="34" borderId="74" xfId="0" applyNumberFormat="1" applyFont="1" applyFill="1" applyBorder="1" applyAlignment="1" applyProtection="1">
      <alignment horizontal="right" indent="1"/>
      <protection locked="0"/>
    </xf>
    <xf numFmtId="4" fontId="11" fillId="34" borderId="56" xfId="0" applyNumberFormat="1" applyFont="1" applyFill="1" applyBorder="1" applyAlignment="1" applyProtection="1">
      <alignment horizontal="right" indent="1"/>
      <protection locked="0"/>
    </xf>
    <xf numFmtId="4" fontId="11" fillId="34" borderId="77" xfId="0" applyNumberFormat="1" applyFont="1" applyFill="1" applyBorder="1" applyAlignment="1" applyProtection="1">
      <alignment horizontal="right" indent="1"/>
      <protection locked="0"/>
    </xf>
    <xf numFmtId="4" fontId="11" fillId="34" borderId="78" xfId="0" applyNumberFormat="1" applyFont="1" applyFill="1" applyBorder="1" applyAlignment="1" applyProtection="1">
      <alignment horizontal="right" indent="1"/>
      <protection locked="0"/>
    </xf>
    <xf numFmtId="4" fontId="11" fillId="34" borderId="79" xfId="0" applyNumberFormat="1" applyFont="1" applyFill="1" applyBorder="1" applyAlignment="1" applyProtection="1">
      <alignment horizontal="right" indent="1"/>
      <protection locked="0"/>
    </xf>
    <xf numFmtId="4" fontId="11" fillId="34" borderId="80" xfId="0" applyNumberFormat="1" applyFont="1" applyFill="1" applyBorder="1" applyAlignment="1" applyProtection="1">
      <alignment horizontal="right" indent="1"/>
      <protection locked="0"/>
    </xf>
    <xf numFmtId="4" fontId="11" fillId="0" borderId="78" xfId="0" applyNumberFormat="1" applyFont="1" applyBorder="1" applyAlignment="1" applyProtection="1">
      <alignment horizontal="right" indent="1"/>
      <protection/>
    </xf>
    <xf numFmtId="4" fontId="8" fillId="0" borderId="80" xfId="0" applyNumberFormat="1" applyFont="1" applyBorder="1" applyAlignment="1" applyProtection="1">
      <alignment horizontal="right" indent="1"/>
      <protection/>
    </xf>
    <xf numFmtId="10" fontId="11" fillId="0" borderId="79" xfId="0" applyNumberFormat="1" applyFont="1" applyBorder="1" applyAlignment="1" applyProtection="1">
      <alignment horizontal="right" indent="1"/>
      <protection/>
    </xf>
    <xf numFmtId="0" fontId="8" fillId="0" borderId="0" xfId="0" applyFont="1" applyBorder="1" applyAlignment="1" applyProtection="1">
      <alignment/>
      <protection/>
    </xf>
    <xf numFmtId="0" fontId="11" fillId="0" borderId="81" xfId="0" applyFont="1" applyBorder="1" applyAlignment="1" applyProtection="1">
      <alignment/>
      <protection/>
    </xf>
    <xf numFmtId="0" fontId="11" fillId="0" borderId="82" xfId="0" applyFont="1" applyBorder="1" applyAlignment="1" applyProtection="1">
      <alignment horizontal="center"/>
      <protection/>
    </xf>
    <xf numFmtId="4" fontId="11" fillId="0" borderId="83" xfId="0" applyNumberFormat="1" applyFont="1" applyBorder="1" applyAlignment="1" applyProtection="1">
      <alignment horizontal="right" indent="1"/>
      <protection/>
    </xf>
    <xf numFmtId="4" fontId="8" fillId="0" borderId="0" xfId="0" applyNumberFormat="1" applyFont="1" applyBorder="1" applyAlignment="1" applyProtection="1">
      <alignment horizontal="right" indent="1"/>
      <protection/>
    </xf>
    <xf numFmtId="49" fontId="0" fillId="0" borderId="84" xfId="0" applyNumberFormat="1" applyFont="1" applyBorder="1" applyAlignment="1" applyProtection="1">
      <alignment/>
      <protection/>
    </xf>
    <xf numFmtId="0" fontId="34" fillId="0" borderId="8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4" fontId="11" fillId="0" borderId="79" xfId="0" applyNumberFormat="1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2" fontId="25" fillId="0" borderId="18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10" fontId="0" fillId="0" borderId="55" xfId="0" applyNumberFormat="1" applyFill="1" applyBorder="1" applyAlignment="1" applyProtection="1">
      <alignment horizontal="center"/>
      <protection/>
    </xf>
    <xf numFmtId="10" fontId="0" fillId="0" borderId="86" xfId="0" applyNumberFormat="1" applyFill="1" applyBorder="1" applyAlignment="1" applyProtection="1">
      <alignment horizontal="center"/>
      <protection/>
    </xf>
    <xf numFmtId="1" fontId="0" fillId="34" borderId="54" xfId="0" applyNumberFormat="1" applyFill="1" applyBorder="1" applyAlignment="1" applyProtection="1">
      <alignment horizontal="center"/>
      <protection locked="0"/>
    </xf>
    <xf numFmtId="1" fontId="0" fillId="34" borderId="59" xfId="0" applyNumberFormat="1" applyFill="1" applyBorder="1" applyAlignment="1" applyProtection="1">
      <alignment horizont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35" xfId="0" applyFont="1" applyBorder="1" applyAlignment="1" applyProtection="1">
      <alignment/>
      <protection/>
    </xf>
    <xf numFmtId="0" fontId="26" fillId="0" borderId="87" xfId="0" applyFont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4" fontId="0" fillId="34" borderId="87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73" xfId="0" applyFont="1" applyBorder="1" applyAlignment="1" applyProtection="1">
      <alignment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4" fontId="11" fillId="0" borderId="78" xfId="0" applyNumberFormat="1" applyFont="1" applyBorder="1" applyAlignment="1" applyProtection="1">
      <alignment horizontal="right" vertical="center"/>
      <protection/>
    </xf>
    <xf numFmtId="0" fontId="0" fillId="34" borderId="67" xfId="0" applyFont="1" applyFill="1" applyBorder="1" applyAlignment="1" applyProtection="1">
      <alignment horizontal="center"/>
      <protection locked="0"/>
    </xf>
    <xf numFmtId="49" fontId="6" fillId="0" borderId="71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26" xfId="0" applyNumberFormat="1" applyFont="1" applyBorder="1" applyAlignment="1" applyProtection="1">
      <alignment/>
      <protection/>
    </xf>
    <xf numFmtId="4" fontId="12" fillId="0" borderId="38" xfId="0" applyNumberFormat="1" applyFont="1" applyFill="1" applyBorder="1" applyAlignment="1" applyProtection="1">
      <alignment horizontal="right"/>
      <protection/>
    </xf>
    <xf numFmtId="49" fontId="6" fillId="0" borderId="21" xfId="0" applyNumberFormat="1" applyFont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4" fontId="13" fillId="0" borderId="16" xfId="0" applyNumberFormat="1" applyFont="1" applyFill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" fontId="11" fillId="34" borderId="0" xfId="0" applyNumberFormat="1" applyFont="1" applyFill="1" applyBorder="1" applyAlignment="1" applyProtection="1">
      <alignment horizontal="right" indent="1"/>
      <protection locked="0"/>
    </xf>
    <xf numFmtId="0" fontId="37" fillId="36" borderId="89" xfId="0" applyFont="1" applyFill="1" applyBorder="1" applyAlignment="1" applyProtection="1">
      <alignment horizontal="center"/>
      <protection locked="0"/>
    </xf>
    <xf numFmtId="4" fontId="13" fillId="36" borderId="52" xfId="0" applyNumberFormat="1" applyFont="1" applyFill="1" applyBorder="1" applyAlignment="1" applyProtection="1">
      <alignment horizontal="right"/>
      <protection locked="0"/>
    </xf>
    <xf numFmtId="0" fontId="13" fillId="36" borderId="52" xfId="0" applyFont="1" applyFill="1" applyBorder="1" applyAlignment="1" applyProtection="1">
      <alignment horizontal="center"/>
      <protection locked="0"/>
    </xf>
    <xf numFmtId="0" fontId="11" fillId="0" borderId="90" xfId="0" applyFont="1" applyBorder="1" applyAlignment="1" applyProtection="1">
      <alignment horizontal="center"/>
      <protection/>
    </xf>
    <xf numFmtId="4" fontId="11" fillId="34" borderId="60" xfId="0" applyNumberFormat="1" applyFont="1" applyFill="1" applyBorder="1" applyAlignment="1" applyProtection="1">
      <alignment horizontal="right" indent="1"/>
      <protection locked="0"/>
    </xf>
    <xf numFmtId="4" fontId="11" fillId="34" borderId="91" xfId="0" applyNumberFormat="1" applyFont="1" applyFill="1" applyBorder="1" applyAlignment="1" applyProtection="1">
      <alignment horizontal="right" indent="1"/>
      <protection locked="0"/>
    </xf>
    <xf numFmtId="0" fontId="0" fillId="0" borderId="51" xfId="0" applyFont="1" applyFill="1" applyBorder="1" applyAlignment="1" applyProtection="1">
      <alignment/>
      <protection/>
    </xf>
    <xf numFmtId="0" fontId="0" fillId="0" borderId="56" xfId="0" applyFont="1" applyBorder="1" applyAlignment="1" applyProtection="1">
      <alignment vertical="center" wrapText="1"/>
      <protection/>
    </xf>
    <xf numFmtId="0" fontId="0" fillId="0" borderId="56" xfId="0" applyFont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34" fillId="0" borderId="51" xfId="0" applyFont="1" applyBorder="1" applyAlignment="1" applyProtection="1">
      <alignment/>
      <protection/>
    </xf>
    <xf numFmtId="0" fontId="34" fillId="36" borderId="52" xfId="0" applyFont="1" applyFill="1" applyBorder="1" applyAlignment="1" applyProtection="1">
      <alignment/>
      <protection locked="0"/>
    </xf>
    <xf numFmtId="10" fontId="13" fillId="0" borderId="16" xfId="0" applyNumberFormat="1" applyFont="1" applyBorder="1" applyAlignment="1" applyProtection="1">
      <alignment horizontal="center"/>
      <protection/>
    </xf>
    <xf numFmtId="10" fontId="13" fillId="0" borderId="11" xfId="0" applyNumberFormat="1" applyFont="1" applyBorder="1" applyAlignment="1" applyProtection="1">
      <alignment horizontal="center"/>
      <protection/>
    </xf>
    <xf numFmtId="4" fontId="12" fillId="0" borderId="22" xfId="0" applyNumberFormat="1" applyFont="1" applyFill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 horizontal="right"/>
      <protection/>
    </xf>
    <xf numFmtId="10" fontId="13" fillId="0" borderId="22" xfId="0" applyNumberFormat="1" applyFont="1" applyBorder="1" applyAlignment="1" applyProtection="1">
      <alignment horizontal="center"/>
      <protection/>
    </xf>
    <xf numFmtId="4" fontId="12" fillId="0" borderId="11" xfId="0" applyNumberFormat="1" applyFont="1" applyFill="1" applyBorder="1" applyAlignment="1" applyProtection="1">
      <alignment horizontal="right"/>
      <protection/>
    </xf>
    <xf numFmtId="4" fontId="13" fillId="0" borderId="22" xfId="0" applyNumberFormat="1" applyFont="1" applyFill="1" applyBorder="1" applyAlignment="1" applyProtection="1">
      <alignment/>
      <protection/>
    </xf>
    <xf numFmtId="1" fontId="12" fillId="0" borderId="16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1" fontId="13" fillId="0" borderId="23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4" fontId="13" fillId="0" borderId="22" xfId="0" applyNumberFormat="1" applyFont="1" applyFill="1" applyBorder="1" applyAlignment="1" applyProtection="1">
      <alignment horizontal="right"/>
      <protection/>
    </xf>
    <xf numFmtId="0" fontId="13" fillId="0" borderId="22" xfId="0" applyFont="1" applyFill="1" applyBorder="1" applyAlignment="1" applyProtection="1">
      <alignment horizontal="center"/>
      <protection/>
    </xf>
    <xf numFmtId="2" fontId="0" fillId="0" borderId="22" xfId="0" applyNumberFormat="1" applyBorder="1" applyAlignment="1" applyProtection="1">
      <alignment/>
      <protection/>
    </xf>
    <xf numFmtId="4" fontId="12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4" fontId="12" fillId="0" borderId="24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49" fontId="6" fillId="36" borderId="22" xfId="0" applyNumberFormat="1" applyFont="1" applyFill="1" applyBorder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center"/>
      <protection/>
    </xf>
    <xf numFmtId="4" fontId="13" fillId="0" borderId="50" xfId="0" applyNumberFormat="1" applyFont="1" applyFill="1" applyBorder="1" applyAlignment="1" applyProtection="1">
      <alignment horizontal="right" vertical="center"/>
      <protection/>
    </xf>
    <xf numFmtId="4" fontId="12" fillId="0" borderId="29" xfId="0" applyNumberFormat="1" applyFont="1" applyFill="1" applyBorder="1" applyAlignment="1" applyProtection="1">
      <alignment horizontal="right"/>
      <protection/>
    </xf>
    <xf numFmtId="49" fontId="6" fillId="0" borderId="71" xfId="0" applyNumberFormat="1" applyFont="1" applyBorder="1" applyAlignment="1" applyProtection="1">
      <alignment/>
      <protection/>
    </xf>
    <xf numFmtId="49" fontId="0" fillId="0" borderId="30" xfId="0" applyNumberFormat="1" applyFont="1" applyBorder="1" applyAlignment="1" applyProtection="1">
      <alignment horizontal="center"/>
      <protection/>
    </xf>
    <xf numFmtId="4" fontId="12" fillId="0" borderId="30" xfId="0" applyNumberFormat="1" applyFont="1" applyFill="1" applyBorder="1" applyAlignment="1" applyProtection="1">
      <alignment horizontal="right"/>
      <protection/>
    </xf>
    <xf numFmtId="49" fontId="6" fillId="0" borderId="71" xfId="0" applyNumberFormat="1" applyFont="1" applyBorder="1" applyAlignment="1" applyProtection="1">
      <alignment/>
      <protection/>
    </xf>
    <xf numFmtId="49" fontId="6" fillId="0" borderId="84" xfId="0" applyNumberFormat="1" applyFont="1" applyBorder="1" applyAlignment="1" applyProtection="1">
      <alignment/>
      <protection/>
    </xf>
    <xf numFmtId="0" fontId="0" fillId="0" borderId="85" xfId="0" applyBorder="1" applyAlignment="1" applyProtection="1">
      <alignment horizontal="center"/>
      <protection/>
    </xf>
    <xf numFmtId="4" fontId="12" fillId="0" borderId="92" xfId="0" applyNumberFormat="1" applyFont="1" applyFill="1" applyBorder="1" applyAlignment="1" applyProtection="1">
      <alignment horizontal="right"/>
      <protection/>
    </xf>
    <xf numFmtId="49" fontId="0" fillId="0" borderId="71" xfId="0" applyNumberFormat="1" applyBorder="1" applyAlignment="1" applyProtection="1">
      <alignment vertical="center"/>
      <protection/>
    </xf>
    <xf numFmtId="1" fontId="1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right" vertical="center"/>
      <protection/>
    </xf>
    <xf numFmtId="0" fontId="13" fillId="0" borderId="51" xfId="0" applyFont="1" applyFill="1" applyBorder="1" applyAlignment="1" applyProtection="1">
      <alignment horizontal="right"/>
      <protection/>
    </xf>
    <xf numFmtId="49" fontId="0" fillId="0" borderId="71" xfId="0" applyNumberFormat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 wrapText="1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4" fontId="12" fillId="0" borderId="51" xfId="0" applyNumberFormat="1" applyFont="1" applyFill="1" applyBorder="1" applyAlignment="1" applyProtection="1">
      <alignment horizontal="right"/>
      <protection/>
    </xf>
    <xf numFmtId="49" fontId="6" fillId="0" borderId="84" xfId="0" applyNumberFormat="1" applyFont="1" applyBorder="1" applyAlignment="1" applyProtection="1">
      <alignment/>
      <protection/>
    </xf>
    <xf numFmtId="49" fontId="0" fillId="0" borderId="85" xfId="0" applyNumberForma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171" fontId="13" fillId="0" borderId="0" xfId="63" applyFont="1" applyFill="1" applyBorder="1" applyAlignment="1" applyProtection="1">
      <alignment horizontal="right"/>
      <protection/>
    </xf>
    <xf numFmtId="4" fontId="13" fillId="0" borderId="21" xfId="0" applyNumberFormat="1" applyFont="1" applyFill="1" applyBorder="1" applyAlignment="1" applyProtection="1">
      <alignment/>
      <protection/>
    </xf>
    <xf numFmtId="0" fontId="13" fillId="0" borderId="32" xfId="0" applyFont="1" applyBorder="1" applyAlignment="1" applyProtection="1">
      <alignment horizontal="center"/>
      <protection/>
    </xf>
    <xf numFmtId="49" fontId="6" fillId="36" borderId="23" xfId="0" applyNumberFormat="1" applyFont="1" applyFill="1" applyBorder="1" applyAlignment="1" applyProtection="1">
      <alignment/>
      <protection locked="0"/>
    </xf>
    <xf numFmtId="171" fontId="1" fillId="0" borderId="27" xfId="63" applyFont="1" applyBorder="1" applyAlignment="1" applyProtection="1">
      <alignment horizontal="center"/>
      <protection/>
    </xf>
    <xf numFmtId="179" fontId="36" fillId="0" borderId="33" xfId="47" applyNumberFormat="1" applyFont="1" applyFill="1" applyBorder="1" applyAlignment="1" applyProtection="1">
      <alignment horizontal="center"/>
      <protection/>
    </xf>
    <xf numFmtId="4" fontId="38" fillId="0" borderId="56" xfId="0" applyNumberFormat="1" applyFont="1" applyFill="1" applyBorder="1" applyAlignment="1" applyProtection="1">
      <alignment horizontal="right" vertical="center"/>
      <protection/>
    </xf>
    <xf numFmtId="4" fontId="38" fillId="0" borderId="51" xfId="0" applyNumberFormat="1" applyFont="1" applyFill="1" applyBorder="1" applyAlignment="1" applyProtection="1">
      <alignment horizontal="right" vertical="center"/>
      <protection/>
    </xf>
    <xf numFmtId="4" fontId="38" fillId="0" borderId="51" xfId="0" applyNumberFormat="1" applyFont="1" applyFill="1" applyBorder="1" applyAlignment="1" applyProtection="1">
      <alignment horizontal="right"/>
      <protection/>
    </xf>
    <xf numFmtId="4" fontId="38" fillId="36" borderId="52" xfId="0" applyNumberFormat="1" applyFont="1" applyFill="1" applyBorder="1" applyAlignment="1" applyProtection="1">
      <alignment horizontal="right"/>
      <protection locked="0"/>
    </xf>
    <xf numFmtId="4" fontId="38" fillId="0" borderId="51" xfId="0" applyNumberFormat="1" applyFont="1" applyFill="1" applyBorder="1" applyAlignment="1" applyProtection="1">
      <alignment/>
      <protection/>
    </xf>
    <xf numFmtId="4" fontId="39" fillId="0" borderId="83" xfId="0" applyNumberFormat="1" applyFont="1" applyFill="1" applyBorder="1" applyAlignment="1" applyProtection="1">
      <alignment horizontal="right"/>
      <protection/>
    </xf>
    <xf numFmtId="10" fontId="38" fillId="0" borderId="51" xfId="0" applyNumberFormat="1" applyFont="1" applyBorder="1" applyAlignment="1" applyProtection="1">
      <alignment horizontal="center"/>
      <protection/>
    </xf>
    <xf numFmtId="2" fontId="38" fillId="0" borderId="56" xfId="0" applyNumberFormat="1" applyFont="1" applyBorder="1" applyAlignment="1" applyProtection="1">
      <alignment/>
      <protection/>
    </xf>
    <xf numFmtId="0" fontId="41" fillId="0" borderId="56" xfId="0" applyFont="1" applyBorder="1" applyAlignment="1" applyProtection="1">
      <alignment/>
      <protection/>
    </xf>
    <xf numFmtId="4" fontId="38" fillId="0" borderId="51" xfId="0" applyNumberFormat="1" applyFont="1" applyFill="1" applyBorder="1" applyAlignment="1" applyProtection="1">
      <alignment vertical="center"/>
      <protection/>
    </xf>
    <xf numFmtId="0" fontId="38" fillId="0" borderId="51" xfId="0" applyFont="1" applyFill="1" applyBorder="1" applyAlignment="1" applyProtection="1">
      <alignment horizontal="right" vertical="center"/>
      <protection/>
    </xf>
    <xf numFmtId="0" fontId="38" fillId="0" borderId="56" xfId="0" applyFont="1" applyBorder="1" applyAlignment="1" applyProtection="1">
      <alignment vertical="center"/>
      <protection/>
    </xf>
    <xf numFmtId="0" fontId="41" fillId="0" borderId="56" xfId="0" applyFont="1" applyBorder="1" applyAlignment="1" applyProtection="1">
      <alignment vertical="center"/>
      <protection/>
    </xf>
    <xf numFmtId="0" fontId="38" fillId="0" borderId="51" xfId="0" applyFont="1" applyFill="1" applyBorder="1" applyAlignment="1" applyProtection="1">
      <alignment horizontal="right"/>
      <protection/>
    </xf>
    <xf numFmtId="0" fontId="38" fillId="0" borderId="56" xfId="0" applyFont="1" applyBorder="1" applyAlignment="1" applyProtection="1">
      <alignment/>
      <protection/>
    </xf>
    <xf numFmtId="0" fontId="38" fillId="0" borderId="51" xfId="0" applyFont="1" applyFill="1" applyBorder="1" applyAlignment="1" applyProtection="1">
      <alignment horizontal="center" vertical="center"/>
      <protection/>
    </xf>
    <xf numFmtId="0" fontId="38" fillId="0" borderId="56" xfId="0" applyFont="1" applyBorder="1" applyAlignment="1" applyProtection="1">
      <alignment horizontal="center" vertical="center"/>
      <protection/>
    </xf>
    <xf numFmtId="0" fontId="41" fillId="0" borderId="56" xfId="0" applyFont="1" applyBorder="1" applyAlignment="1" applyProtection="1">
      <alignment horizontal="center" vertical="center"/>
      <protection/>
    </xf>
    <xf numFmtId="4" fontId="39" fillId="0" borderId="51" xfId="0" applyNumberFormat="1" applyFont="1" applyFill="1" applyBorder="1" applyAlignment="1" applyProtection="1">
      <alignment horizontal="right"/>
      <protection/>
    </xf>
    <xf numFmtId="4" fontId="39" fillId="0" borderId="56" xfId="0" applyNumberFormat="1" applyFont="1" applyFill="1" applyBorder="1" applyAlignment="1" applyProtection="1">
      <alignment horizontal="right"/>
      <protection/>
    </xf>
    <xf numFmtId="4" fontId="38" fillId="0" borderId="11" xfId="0" applyNumberFormat="1" applyFont="1" applyFill="1" applyBorder="1" applyAlignment="1" applyProtection="1">
      <alignment/>
      <protection/>
    </xf>
    <xf numFmtId="4" fontId="39" fillId="0" borderId="11" xfId="0" applyNumberFormat="1" applyFont="1" applyFill="1" applyBorder="1" applyAlignment="1" applyProtection="1">
      <alignment horizontal="right"/>
      <protection/>
    </xf>
    <xf numFmtId="10" fontId="38" fillId="0" borderId="11" xfId="0" applyNumberFormat="1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4" fontId="38" fillId="0" borderId="22" xfId="0" applyNumberFormat="1" applyFont="1" applyFill="1" applyBorder="1" applyAlignment="1" applyProtection="1">
      <alignment/>
      <protection/>
    </xf>
    <xf numFmtId="4" fontId="39" fillId="0" borderId="22" xfId="0" applyNumberFormat="1" applyFont="1" applyFill="1" applyBorder="1" applyAlignment="1" applyProtection="1">
      <alignment horizontal="right"/>
      <protection/>
    </xf>
    <xf numFmtId="10" fontId="38" fillId="0" borderId="22" xfId="0" applyNumberFormat="1" applyFont="1" applyBorder="1" applyAlignment="1" applyProtection="1">
      <alignment horizontal="center"/>
      <protection/>
    </xf>
    <xf numFmtId="0" fontId="38" fillId="0" borderId="22" xfId="0" applyFont="1" applyBorder="1" applyAlignment="1" applyProtection="1">
      <alignment/>
      <protection/>
    </xf>
    <xf numFmtId="0" fontId="41" fillId="0" borderId="22" xfId="0" applyFont="1" applyBorder="1" applyAlignment="1" applyProtection="1">
      <alignment/>
      <protection/>
    </xf>
    <xf numFmtId="4" fontId="38" fillId="0" borderId="50" xfId="0" applyNumberFormat="1" applyFont="1" applyFill="1" applyBorder="1" applyAlignment="1" applyProtection="1">
      <alignment/>
      <protection/>
    </xf>
    <xf numFmtId="4" fontId="39" fillId="0" borderId="29" xfId="0" applyNumberFormat="1" applyFont="1" applyFill="1" applyBorder="1" applyAlignment="1" applyProtection="1">
      <alignment horizontal="right"/>
      <protection/>
    </xf>
    <xf numFmtId="10" fontId="38" fillId="0" borderId="50" xfId="0" applyNumberFormat="1" applyFont="1" applyBorder="1" applyAlignment="1" applyProtection="1">
      <alignment horizontal="center"/>
      <protection/>
    </xf>
    <xf numFmtId="0" fontId="38" fillId="0" borderId="53" xfId="0" applyFont="1" applyBorder="1" applyAlignment="1" applyProtection="1">
      <alignment/>
      <protection/>
    </xf>
    <xf numFmtId="0" fontId="41" fillId="0" borderId="53" xfId="0" applyFont="1" applyBorder="1" applyAlignment="1" applyProtection="1">
      <alignment/>
      <protection/>
    </xf>
    <xf numFmtId="4" fontId="39" fillId="0" borderId="30" xfId="0" applyNumberFormat="1" applyFont="1" applyFill="1" applyBorder="1" applyAlignment="1" applyProtection="1">
      <alignment horizontal="right"/>
      <protection/>
    </xf>
    <xf numFmtId="4" fontId="38" fillId="0" borderId="30" xfId="0" applyNumberFormat="1" applyFont="1" applyFill="1" applyBorder="1" applyAlignment="1" applyProtection="1">
      <alignment horizontal="right"/>
      <protection/>
    </xf>
    <xf numFmtId="4" fontId="39" fillId="0" borderId="11" xfId="0" applyNumberFormat="1" applyFont="1" applyFill="1" applyBorder="1" applyAlignment="1" applyProtection="1">
      <alignment/>
      <protection/>
    </xf>
    <xf numFmtId="4" fontId="39" fillId="0" borderId="22" xfId="0" applyNumberFormat="1" applyFont="1" applyFill="1" applyBorder="1" applyAlignment="1" applyProtection="1">
      <alignment/>
      <protection/>
    </xf>
    <xf numFmtId="4" fontId="38" fillId="0" borderId="16" xfId="0" applyNumberFormat="1" applyFont="1" applyFill="1" applyBorder="1" applyAlignment="1" applyProtection="1">
      <alignment/>
      <protection/>
    </xf>
    <xf numFmtId="4" fontId="39" fillId="0" borderId="16" xfId="0" applyNumberFormat="1" applyFont="1" applyFill="1" applyBorder="1" applyAlignment="1" applyProtection="1">
      <alignment horizontal="right"/>
      <protection/>
    </xf>
    <xf numFmtId="10" fontId="38" fillId="0" borderId="16" xfId="0" applyNumberFormat="1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10" fontId="38" fillId="0" borderId="52" xfId="0" applyNumberFormat="1" applyFont="1" applyBorder="1" applyAlignment="1" applyProtection="1">
      <alignment horizontal="center"/>
      <protection/>
    </xf>
    <xf numFmtId="4" fontId="39" fillId="0" borderId="93" xfId="0" applyNumberFormat="1" applyFont="1" applyFill="1" applyBorder="1" applyAlignment="1" applyProtection="1">
      <alignment horizontal="right"/>
      <protection/>
    </xf>
    <xf numFmtId="4" fontId="38" fillId="36" borderId="0" xfId="0" applyNumberFormat="1" applyFont="1" applyFill="1" applyBorder="1" applyAlignment="1" applyProtection="1">
      <alignment horizontal="right"/>
      <protection locked="0"/>
    </xf>
    <xf numFmtId="4" fontId="38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 horizontal="right"/>
      <protection/>
    </xf>
    <xf numFmtId="0" fontId="38" fillId="0" borderId="16" xfId="0" applyFont="1" applyBorder="1" applyAlignment="1" applyProtection="1">
      <alignment/>
      <protection/>
    </xf>
    <xf numFmtId="0" fontId="41" fillId="0" borderId="16" xfId="0" applyFont="1" applyBorder="1" applyAlignment="1" applyProtection="1">
      <alignment/>
      <protection/>
    </xf>
    <xf numFmtId="4" fontId="38" fillId="0" borderId="32" xfId="0" applyNumberFormat="1" applyFont="1" applyFill="1" applyBorder="1" applyAlignment="1" applyProtection="1">
      <alignment/>
      <protection/>
    </xf>
    <xf numFmtId="4" fontId="38" fillId="0" borderId="94" xfId="0" applyNumberFormat="1" applyFont="1" applyFill="1" applyBorder="1" applyAlignment="1" applyProtection="1">
      <alignment/>
      <protection/>
    </xf>
    <xf numFmtId="4" fontId="39" fillId="0" borderId="21" xfId="0" applyNumberFormat="1" applyFont="1" applyFill="1" applyBorder="1" applyAlignment="1" applyProtection="1">
      <alignment horizontal="right"/>
      <protection/>
    </xf>
    <xf numFmtId="171" fontId="38" fillId="0" borderId="52" xfId="63" applyFont="1" applyFill="1" applyBorder="1" applyAlignment="1" applyProtection="1">
      <alignment/>
      <protection/>
    </xf>
    <xf numFmtId="171" fontId="38" fillId="0" borderId="60" xfId="63" applyFont="1" applyFill="1" applyBorder="1" applyAlignment="1" applyProtection="1">
      <alignment/>
      <protection/>
    </xf>
    <xf numFmtId="0" fontId="38" fillId="0" borderId="52" xfId="0" applyFont="1" applyFill="1" applyBorder="1" applyAlignment="1" applyProtection="1">
      <alignment horizontal="center"/>
      <protection/>
    </xf>
    <xf numFmtId="0" fontId="38" fillId="0" borderId="51" xfId="0" applyFont="1" applyFill="1" applyBorder="1" applyAlignment="1" applyProtection="1">
      <alignment horizontal="center"/>
      <protection/>
    </xf>
    <xf numFmtId="0" fontId="38" fillId="0" borderId="56" xfId="0" applyFont="1" applyFill="1" applyBorder="1" applyAlignment="1" applyProtection="1">
      <alignment horizontal="center" vertical="center"/>
      <protection/>
    </xf>
    <xf numFmtId="0" fontId="38" fillId="0" borderId="56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50" xfId="0" applyFont="1" applyFill="1" applyBorder="1" applyAlignment="1" applyProtection="1">
      <alignment horizontal="center"/>
      <protection/>
    </xf>
    <xf numFmtId="0" fontId="38" fillId="0" borderId="11" xfId="0" applyFont="1" applyFill="1" applyBorder="1" applyAlignment="1" applyProtection="1">
      <alignment horizontal="center"/>
      <protection/>
    </xf>
    <xf numFmtId="0" fontId="38" fillId="0" borderId="22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 applyProtection="1">
      <alignment horizontal="center"/>
      <protection/>
    </xf>
    <xf numFmtId="0" fontId="38" fillId="36" borderId="52" xfId="0" applyFont="1" applyFill="1" applyBorder="1" applyAlignment="1" applyProtection="1">
      <alignment horizontal="center"/>
      <protection locked="0"/>
    </xf>
    <xf numFmtId="2" fontId="1" fillId="32" borderId="19" xfId="47" applyNumberFormat="1" applyFont="1" applyFill="1" applyBorder="1" applyAlignment="1" applyProtection="1">
      <alignment horizontal="center"/>
      <protection locked="0"/>
    </xf>
    <xf numFmtId="171" fontId="38" fillId="36" borderId="60" xfId="63" applyFont="1" applyFill="1" applyBorder="1" applyAlignment="1" applyProtection="1">
      <alignment/>
      <protection locked="0"/>
    </xf>
    <xf numFmtId="171" fontId="13" fillId="36" borderId="22" xfId="63" applyFont="1" applyFill="1" applyBorder="1" applyAlignment="1" applyProtection="1">
      <alignment/>
      <protection/>
    </xf>
    <xf numFmtId="171" fontId="12" fillId="36" borderId="16" xfId="63" applyFont="1" applyFill="1" applyBorder="1" applyAlignment="1" applyProtection="1">
      <alignment/>
      <protection/>
    </xf>
    <xf numFmtId="171" fontId="38" fillId="36" borderId="56" xfId="63" applyFont="1" applyFill="1" applyBorder="1" applyAlignment="1" applyProtection="1">
      <alignment/>
      <protection locked="0"/>
    </xf>
    <xf numFmtId="171" fontId="38" fillId="36" borderId="51" xfId="63" applyFont="1" applyFill="1" applyBorder="1" applyAlignment="1" applyProtection="1">
      <alignment vertical="center"/>
      <protection locked="0"/>
    </xf>
    <xf numFmtId="171" fontId="38" fillId="36" borderId="51" xfId="63" applyFont="1" applyFill="1" applyBorder="1" applyAlignment="1" applyProtection="1">
      <alignment/>
      <protection locked="0"/>
    </xf>
    <xf numFmtId="171" fontId="38" fillId="36" borderId="51" xfId="63" applyFont="1" applyFill="1" applyBorder="1" applyAlignment="1" applyProtection="1">
      <alignment horizontal="center" vertical="center"/>
      <protection locked="0"/>
    </xf>
    <xf numFmtId="171" fontId="38" fillId="36" borderId="51" xfId="63" applyFont="1" applyFill="1" applyBorder="1" applyAlignment="1" applyProtection="1">
      <alignment/>
      <protection/>
    </xf>
    <xf numFmtId="171" fontId="38" fillId="36" borderId="11" xfId="63" applyFont="1" applyFill="1" applyBorder="1" applyAlignment="1" applyProtection="1">
      <alignment/>
      <protection locked="0"/>
    </xf>
    <xf numFmtId="171" fontId="38" fillId="36" borderId="0" xfId="63" applyFont="1" applyFill="1" applyBorder="1" applyAlignment="1" applyProtection="1">
      <alignment/>
      <protection locked="0"/>
    </xf>
    <xf numFmtId="171" fontId="38" fillId="36" borderId="50" xfId="63" applyFont="1" applyFill="1" applyBorder="1" applyAlignment="1" applyProtection="1">
      <alignment/>
      <protection locked="0"/>
    </xf>
    <xf numFmtId="171" fontId="38" fillId="36" borderId="22" xfId="63" applyFont="1" applyFill="1" applyBorder="1" applyAlignment="1" applyProtection="1">
      <alignment/>
      <protection locked="0"/>
    </xf>
    <xf numFmtId="171" fontId="38" fillId="36" borderId="10" xfId="63" applyFont="1" applyFill="1" applyBorder="1" applyAlignment="1" applyProtection="1">
      <alignment/>
      <protection/>
    </xf>
    <xf numFmtId="4" fontId="38" fillId="36" borderId="51" xfId="0" applyNumberFormat="1" applyFont="1" applyFill="1" applyBorder="1" applyAlignment="1" applyProtection="1">
      <alignment horizontal="right"/>
      <protection locked="0"/>
    </xf>
    <xf numFmtId="4" fontId="38" fillId="36" borderId="11" xfId="0" applyNumberFormat="1" applyFont="1" applyFill="1" applyBorder="1" applyAlignment="1" applyProtection="1">
      <alignment horizontal="right"/>
      <protection locked="0"/>
    </xf>
    <xf numFmtId="171" fontId="38" fillId="36" borderId="50" xfId="63" applyFont="1" applyFill="1" applyBorder="1" applyAlignment="1" applyProtection="1">
      <alignment/>
      <protection/>
    </xf>
    <xf numFmtId="0" fontId="13" fillId="0" borderId="85" xfId="0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 horizontal="center"/>
    </xf>
    <xf numFmtId="0" fontId="24" fillId="36" borderId="52" xfId="0" applyFont="1" applyFill="1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/>
    </xf>
    <xf numFmtId="0" fontId="38" fillId="0" borderId="52" xfId="0" applyFont="1" applyFill="1" applyBorder="1" applyAlignment="1" applyProtection="1">
      <alignment/>
      <protection/>
    </xf>
    <xf numFmtId="4" fontId="39" fillId="0" borderId="52" xfId="0" applyNumberFormat="1" applyFont="1" applyFill="1" applyBorder="1" applyAlignment="1" applyProtection="1">
      <alignment horizontal="right"/>
      <protection/>
    </xf>
    <xf numFmtId="2" fontId="38" fillId="0" borderId="60" xfId="0" applyNumberFormat="1" applyFont="1" applyBorder="1" applyAlignment="1" applyProtection="1">
      <alignment/>
      <protection/>
    </xf>
    <xf numFmtId="0" fontId="41" fillId="0" borderId="60" xfId="0" applyFont="1" applyBorder="1" applyAlignment="1" applyProtection="1">
      <alignment/>
      <protection/>
    </xf>
    <xf numFmtId="4" fontId="38" fillId="0" borderId="52" xfId="0" applyNumberFormat="1" applyFont="1" applyFill="1" applyBorder="1" applyAlignment="1" applyProtection="1">
      <alignment/>
      <protection/>
    </xf>
    <xf numFmtId="4" fontId="12" fillId="0" borderId="89" xfId="0" applyNumberFormat="1" applyFont="1" applyFill="1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" fontId="13" fillId="0" borderId="12" xfId="0" applyNumberFormat="1" applyFont="1" applyFill="1" applyBorder="1" applyAlignment="1" applyProtection="1">
      <alignment horizontal="center"/>
      <protection/>
    </xf>
    <xf numFmtId="4" fontId="13" fillId="0" borderId="12" xfId="0" applyNumberFormat="1" applyFont="1" applyFill="1" applyBorder="1" applyAlignment="1" applyProtection="1">
      <alignment horizontal="right"/>
      <protection/>
    </xf>
    <xf numFmtId="171" fontId="13" fillId="36" borderId="12" xfId="63" applyFont="1" applyFill="1" applyBorder="1" applyAlignment="1" applyProtection="1">
      <alignment/>
      <protection/>
    </xf>
    <xf numFmtId="49" fontId="6" fillId="36" borderId="71" xfId="0" applyNumberFormat="1" applyFont="1" applyFill="1" applyBorder="1" applyAlignment="1" applyProtection="1">
      <alignment/>
      <protection locked="0"/>
    </xf>
    <xf numFmtId="49" fontId="6" fillId="36" borderId="25" xfId="0" applyNumberFormat="1" applyFont="1" applyFill="1" applyBorder="1" applyAlignment="1" applyProtection="1">
      <alignment/>
      <protection locked="0"/>
    </xf>
    <xf numFmtId="0" fontId="38" fillId="0" borderId="30" xfId="0" applyFont="1" applyBorder="1" applyAlignment="1" applyProtection="1">
      <alignment horizontal="center" vertical="center"/>
      <protection/>
    </xf>
    <xf numFmtId="0" fontId="38" fillId="0" borderId="30" xfId="0" applyFont="1" applyBorder="1" applyAlignment="1" applyProtection="1">
      <alignment horizontal="center"/>
      <protection/>
    </xf>
    <xf numFmtId="0" fontId="38" fillId="0" borderId="30" xfId="0" applyFont="1" applyBorder="1" applyAlignment="1" applyProtection="1">
      <alignment horizontal="center" vertical="center"/>
      <protection locked="0"/>
    </xf>
    <xf numFmtId="49" fontId="38" fillId="0" borderId="30" xfId="0" applyNumberFormat="1" applyFont="1" applyBorder="1" applyAlignment="1" applyProtection="1">
      <alignment horizontal="center"/>
      <protection/>
    </xf>
    <xf numFmtId="0" fontId="42" fillId="0" borderId="30" xfId="0" applyFont="1" applyBorder="1" applyAlignment="1" applyProtection="1">
      <alignment horizontal="center"/>
      <protection/>
    </xf>
    <xf numFmtId="0" fontId="42" fillId="36" borderId="89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 applyProtection="1">
      <alignment/>
      <protection locked="0"/>
    </xf>
    <xf numFmtId="4" fontId="0" fillId="4" borderId="0" xfId="0" applyNumberFormat="1" applyFont="1" applyFill="1" applyBorder="1" applyAlignment="1" applyProtection="1">
      <alignment/>
      <protection locked="0"/>
    </xf>
    <xf numFmtId="0" fontId="3" fillId="4" borderId="19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/>
      <protection locked="0"/>
    </xf>
    <xf numFmtId="0" fontId="15" fillId="4" borderId="19" xfId="0" applyFont="1" applyFill="1" applyBorder="1" applyAlignment="1" applyProtection="1">
      <alignment/>
      <protection locked="0"/>
    </xf>
    <xf numFmtId="9" fontId="1" fillId="32" borderId="20" xfId="47" applyNumberFormat="1" applyFont="1" applyFill="1" applyBorder="1" applyAlignment="1" applyProtection="1">
      <alignment horizontal="centerContinuous"/>
      <protection/>
    </xf>
    <xf numFmtId="4" fontId="12" fillId="4" borderId="11" xfId="0" applyNumberFormat="1" applyFont="1" applyFill="1" applyBorder="1" applyAlignment="1" applyProtection="1">
      <alignment/>
      <protection/>
    </xf>
    <xf numFmtId="4" fontId="12" fillId="4" borderId="11" xfId="0" applyNumberFormat="1" applyFont="1" applyFill="1" applyBorder="1" applyAlignment="1" applyProtection="1">
      <alignment horizontal="right"/>
      <protection/>
    </xf>
    <xf numFmtId="4" fontId="12" fillId="4" borderId="20" xfId="0" applyNumberFormat="1" applyFont="1" applyFill="1" applyBorder="1" applyAlignment="1" applyProtection="1">
      <alignment horizontal="right"/>
      <protection/>
    </xf>
    <xf numFmtId="171" fontId="12" fillId="4" borderId="11" xfId="63" applyFont="1" applyFill="1" applyBorder="1" applyAlignment="1" applyProtection="1">
      <alignment/>
      <protection/>
    </xf>
    <xf numFmtId="171" fontId="12" fillId="2" borderId="27" xfId="63" applyFont="1" applyFill="1" applyBorder="1" applyAlignment="1" applyProtection="1">
      <alignment horizontal="center" vertical="center"/>
      <protection/>
    </xf>
    <xf numFmtId="171" fontId="8" fillId="2" borderId="22" xfId="63" applyFont="1" applyFill="1" applyBorder="1" applyAlignment="1" applyProtection="1">
      <alignment horizontal="center" vertical="center"/>
      <protection/>
    </xf>
    <xf numFmtId="10" fontId="12" fillId="2" borderId="22" xfId="0" applyNumberFormat="1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/>
      <protection/>
    </xf>
    <xf numFmtId="0" fontId="15" fillId="2" borderId="22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49" fontId="0" fillId="2" borderId="25" xfId="0" applyNumberFormat="1" applyFill="1" applyBorder="1" applyAlignment="1" applyProtection="1">
      <alignment/>
      <protection/>
    </xf>
    <xf numFmtId="0" fontId="0" fillId="2" borderId="22" xfId="0" applyFill="1" applyBorder="1" applyAlignment="1" applyProtection="1">
      <alignment horizontal="center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65" xfId="0" applyNumberFormat="1" applyFont="1" applyFill="1" applyBorder="1" applyAlignment="1" applyProtection="1">
      <alignment horizontal="right"/>
      <protection/>
    </xf>
    <xf numFmtId="2" fontId="0" fillId="34" borderId="64" xfId="0" applyNumberFormat="1" applyFont="1" applyFill="1" applyBorder="1" applyAlignment="1" applyProtection="1">
      <alignment horizontal="right"/>
      <protection locked="0"/>
    </xf>
    <xf numFmtId="2" fontId="0" fillId="34" borderId="18" xfId="0" applyNumberFormat="1" applyFont="1" applyFill="1" applyBorder="1" applyAlignment="1" applyProtection="1">
      <alignment horizontal="right"/>
      <protection locked="0"/>
    </xf>
    <xf numFmtId="2" fontId="0" fillId="34" borderId="63" xfId="0" applyNumberFormat="1" applyFont="1" applyFill="1" applyBorder="1" applyAlignment="1" applyProtection="1">
      <alignment/>
      <protection locked="0"/>
    </xf>
    <xf numFmtId="0" fontId="0" fillId="0" borderId="64" xfId="0" applyBorder="1" applyAlignment="1">
      <alignment/>
    </xf>
    <xf numFmtId="0" fontId="6" fillId="34" borderId="72" xfId="0" applyFont="1" applyFill="1" applyBorder="1" applyAlignment="1" applyProtection="1">
      <alignment/>
      <protection locked="0"/>
    </xf>
    <xf numFmtId="0" fontId="6" fillId="34" borderId="64" xfId="0" applyFont="1" applyFill="1" applyBorder="1" applyAlignment="1" applyProtection="1">
      <alignment/>
      <protection locked="0"/>
    </xf>
    <xf numFmtId="0" fontId="6" fillId="34" borderId="47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right"/>
      <protection/>
    </xf>
    <xf numFmtId="4" fontId="7" fillId="0" borderId="15" xfId="0" applyNumberFormat="1" applyFont="1" applyBorder="1" applyAlignment="1" applyProtection="1">
      <alignment horizontal="right"/>
      <protection/>
    </xf>
    <xf numFmtId="4" fontId="0" fillId="34" borderId="18" xfId="0" applyNumberFormat="1" applyFont="1" applyFill="1" applyBorder="1" applyAlignment="1" applyProtection="1">
      <alignment horizontal="right"/>
      <protection locked="0"/>
    </xf>
    <xf numFmtId="4" fontId="0" fillId="34" borderId="65" xfId="0" applyNumberFormat="1" applyFont="1" applyFill="1" applyBorder="1" applyAlignment="1" applyProtection="1">
      <alignment horizontal="right"/>
      <protection locked="0"/>
    </xf>
    <xf numFmtId="0" fontId="6" fillId="34" borderId="47" xfId="0" applyFont="1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0" fontId="0" fillId="0" borderId="88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right" indent="2"/>
      <protection/>
    </xf>
    <xf numFmtId="0" fontId="0" fillId="0" borderId="19" xfId="0" applyFont="1" applyBorder="1" applyAlignment="1" applyProtection="1">
      <alignment horizontal="right" indent="2"/>
      <protection/>
    </xf>
    <xf numFmtId="0" fontId="0" fillId="34" borderId="95" xfId="0" applyFont="1" applyFill="1" applyBorder="1" applyAlignment="1" applyProtection="1">
      <alignment horizontal="left" vertical="center"/>
      <protection locked="0"/>
    </xf>
    <xf numFmtId="0" fontId="0" fillId="34" borderId="96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right" indent="2"/>
      <protection/>
    </xf>
    <xf numFmtId="0" fontId="0" fillId="0" borderId="26" xfId="0" applyBorder="1" applyAlignment="1" applyProtection="1">
      <alignment horizontal="right" indent="2"/>
      <protection/>
    </xf>
    <xf numFmtId="0" fontId="0" fillId="34" borderId="49" xfId="0" applyFont="1" applyFill="1" applyBorder="1" applyAlignment="1" applyProtection="1">
      <alignment horizontal="center"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65" xfId="0" applyNumberForma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0" fillId="0" borderId="97" xfId="0" applyFont="1" applyBorder="1" applyAlignment="1" applyProtection="1">
      <alignment horizontal="center"/>
      <protection/>
    </xf>
    <xf numFmtId="0" fontId="0" fillId="0" borderId="98" xfId="0" applyFont="1" applyBorder="1" applyAlignment="1" applyProtection="1">
      <alignment horizontal="center"/>
      <protection/>
    </xf>
    <xf numFmtId="189" fontId="0" fillId="34" borderId="66" xfId="0" applyNumberFormat="1" applyFont="1" applyFill="1" applyBorder="1" applyAlignment="1" applyProtection="1">
      <alignment horizontal="center"/>
      <protection locked="0"/>
    </xf>
    <xf numFmtId="189" fontId="0" fillId="34" borderId="99" xfId="0" applyNumberFormat="1" applyFont="1" applyFill="1" applyBorder="1" applyAlignment="1" applyProtection="1">
      <alignment horizontal="center"/>
      <protection locked="0"/>
    </xf>
    <xf numFmtId="0" fontId="11" fillId="0" borderId="64" xfId="0" applyFont="1" applyBorder="1" applyAlignment="1" applyProtection="1">
      <alignment/>
      <protection/>
    </xf>
    <xf numFmtId="0" fontId="11" fillId="0" borderId="63" xfId="0" applyFont="1" applyBorder="1" applyAlignment="1" applyProtection="1">
      <alignment/>
      <protection/>
    </xf>
    <xf numFmtId="0" fontId="0" fillId="34" borderId="63" xfId="0" applyFont="1" applyFill="1" applyBorder="1" applyAlignment="1" applyProtection="1">
      <alignment horizontal="center"/>
      <protection locked="0"/>
    </xf>
    <xf numFmtId="0" fontId="0" fillId="34" borderId="95" xfId="0" applyFill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center"/>
      <protection locked="0"/>
    </xf>
    <xf numFmtId="0" fontId="0" fillId="0" borderId="100" xfId="0" applyBorder="1" applyAlignment="1" applyProtection="1">
      <alignment/>
      <protection/>
    </xf>
    <xf numFmtId="0" fontId="0" fillId="0" borderId="97" xfId="0" applyBorder="1" applyAlignment="1">
      <alignment/>
    </xf>
    <xf numFmtId="4" fontId="0" fillId="34" borderId="18" xfId="0" applyNumberFormat="1" applyFill="1" applyBorder="1" applyAlignment="1" applyProtection="1">
      <alignment/>
      <protection locked="0"/>
    </xf>
    <xf numFmtId="4" fontId="0" fillId="34" borderId="65" xfId="0" applyNumberFormat="1" applyFill="1" applyBorder="1" applyAlignment="1" applyProtection="1">
      <alignment/>
      <protection locked="0"/>
    </xf>
    <xf numFmtId="0" fontId="6" fillId="0" borderId="63" xfId="0" applyFont="1" applyBorder="1" applyAlignment="1" applyProtection="1">
      <alignment horizontal="center"/>
      <protection/>
    </xf>
    <xf numFmtId="0" fontId="6" fillId="0" borderId="96" xfId="0" applyFont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 vertical="justify"/>
      <protection locked="0"/>
    </xf>
    <xf numFmtId="0" fontId="7" fillId="0" borderId="0" xfId="0" applyFont="1" applyBorder="1" applyAlignment="1" applyProtection="1">
      <alignment horizontal="left" vertical="justify"/>
      <protection locked="0"/>
    </xf>
    <xf numFmtId="0" fontId="7" fillId="0" borderId="15" xfId="0" applyFont="1" applyBorder="1" applyAlignment="1" applyProtection="1">
      <alignment horizontal="left" vertical="justify"/>
      <protection locked="0"/>
    </xf>
    <xf numFmtId="4" fontId="0" fillId="0" borderId="49" xfId="0" applyNumberFormat="1" applyFill="1" applyBorder="1" applyAlignment="1" applyProtection="1">
      <alignment/>
      <protection/>
    </xf>
    <xf numFmtId="4" fontId="0" fillId="0" borderId="45" xfId="0" applyNumberFormat="1" applyFill="1" applyBorder="1" applyAlignment="1" applyProtection="1">
      <alignment/>
      <protection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10" fontId="0" fillId="0" borderId="18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/>
      <protection/>
    </xf>
    <xf numFmtId="10" fontId="0" fillId="34" borderId="34" xfId="0" applyNumberFormat="1" applyFill="1" applyBorder="1" applyAlignment="1" applyProtection="1">
      <alignment/>
      <protection locked="0"/>
    </xf>
    <xf numFmtId="10" fontId="0" fillId="0" borderId="101" xfId="0" applyNumberFormat="1" applyBorder="1" applyAlignment="1">
      <alignment/>
    </xf>
    <xf numFmtId="4" fontId="12" fillId="0" borderId="0" xfId="0" applyNumberFormat="1" applyFont="1" applyBorder="1" applyAlignment="1" applyProtection="1">
      <alignment horizontal="right"/>
      <protection/>
    </xf>
    <xf numFmtId="4" fontId="12" fillId="0" borderId="15" xfId="0" applyNumberFormat="1" applyFont="1" applyBorder="1" applyAlignment="1" applyProtection="1">
      <alignment horizontal="right"/>
      <protection/>
    </xf>
    <xf numFmtId="0" fontId="8" fillId="0" borderId="102" xfId="0" applyFont="1" applyBorder="1" applyAlignment="1" applyProtection="1">
      <alignment horizontal="left"/>
      <protection/>
    </xf>
    <xf numFmtId="0" fontId="7" fillId="0" borderId="41" xfId="0" applyFont="1" applyBorder="1" applyAlignment="1" applyProtection="1">
      <alignment horizontal="left"/>
      <protection/>
    </xf>
    <xf numFmtId="4" fontId="7" fillId="0" borderId="41" xfId="0" applyNumberFormat="1" applyFont="1" applyBorder="1" applyAlignment="1" applyProtection="1">
      <alignment horizontal="right"/>
      <protection/>
    </xf>
    <xf numFmtId="4" fontId="7" fillId="0" borderId="99" xfId="0" applyNumberFormat="1" applyFont="1" applyBorder="1" applyAlignment="1" applyProtection="1">
      <alignment horizontal="righ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2" fontId="0" fillId="34" borderId="95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/>
    </xf>
    <xf numFmtId="0" fontId="18" fillId="4" borderId="0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right" vertic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64" xfId="0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95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8" fillId="0" borderId="76" xfId="0" applyFont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170" fontId="1" fillId="0" borderId="22" xfId="47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7" fontId="1" fillId="0" borderId="22" xfId="47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left"/>
      <protection/>
    </xf>
    <xf numFmtId="1" fontId="1" fillId="0" borderId="24" xfId="0" applyNumberFormat="1" applyFont="1" applyBorder="1" applyAlignment="1" applyProtection="1">
      <alignment horizontal="left"/>
      <protection/>
    </xf>
    <xf numFmtId="49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170" fontId="40" fillId="2" borderId="90" xfId="47" applyFont="1" applyFill="1" applyBorder="1" applyAlignment="1" applyProtection="1">
      <alignment/>
      <protection/>
    </xf>
    <xf numFmtId="170" fontId="40" fillId="2" borderId="60" xfId="47" applyFont="1" applyFill="1" applyBorder="1" applyAlignment="1" applyProtection="1">
      <alignment/>
      <protection/>
    </xf>
    <xf numFmtId="170" fontId="40" fillId="2" borderId="89" xfId="47" applyFont="1" applyFill="1" applyBorder="1" applyAlignment="1" applyProtection="1">
      <alignment/>
      <protection/>
    </xf>
    <xf numFmtId="0" fontId="39" fillId="2" borderId="75" xfId="0" applyFont="1" applyFill="1" applyBorder="1" applyAlignment="1" applyProtection="1">
      <alignment horizontal="left" vertical="center"/>
      <protection/>
    </xf>
    <xf numFmtId="0" fontId="39" fillId="2" borderId="56" xfId="0" applyFont="1" applyFill="1" applyBorder="1" applyAlignment="1" applyProtection="1">
      <alignment horizontal="left" vertical="center"/>
      <protection/>
    </xf>
    <xf numFmtId="0" fontId="39" fillId="2" borderId="30" xfId="0" applyFont="1" applyFill="1" applyBorder="1" applyAlignment="1" applyProtection="1">
      <alignment horizontal="left" vertical="center"/>
      <protection/>
    </xf>
    <xf numFmtId="0" fontId="39" fillId="2" borderId="73" xfId="0" applyFont="1" applyFill="1" applyBorder="1" applyAlignment="1" applyProtection="1">
      <alignment horizontal="left" vertical="center"/>
      <protection/>
    </xf>
    <xf numFmtId="0" fontId="39" fillId="2" borderId="74" xfId="0" applyFont="1" applyFill="1" applyBorder="1" applyAlignment="1" applyProtection="1">
      <alignment horizontal="left" vertical="center"/>
      <protection/>
    </xf>
    <xf numFmtId="0" fontId="39" fillId="2" borderId="103" xfId="0" applyFont="1" applyFill="1" applyBorder="1" applyAlignment="1" applyProtection="1">
      <alignment horizontal="left" vertical="center"/>
      <protection/>
    </xf>
    <xf numFmtId="171" fontId="11" fillId="0" borderId="71" xfId="63" applyFont="1" applyBorder="1" applyAlignment="1" applyProtection="1">
      <alignment horizontal="right"/>
      <protection/>
    </xf>
    <xf numFmtId="171" fontId="11" fillId="0" borderId="56" xfId="63" applyFont="1" applyBorder="1" applyAlignment="1" applyProtection="1">
      <alignment horizontal="right"/>
      <protection/>
    </xf>
    <xf numFmtId="171" fontId="11" fillId="0" borderId="30" xfId="63" applyFont="1" applyBorder="1" applyAlignment="1" applyProtection="1">
      <alignment horizontal="right"/>
      <protection/>
    </xf>
    <xf numFmtId="0" fontId="11" fillId="0" borderId="71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0" fillId="0" borderId="79" xfId="0" applyFont="1" applyBorder="1" applyAlignment="1" applyProtection="1">
      <alignment/>
      <protection/>
    </xf>
    <xf numFmtId="0" fontId="10" fillId="0" borderId="58" xfId="0" applyFont="1" applyBorder="1" applyAlignment="1" applyProtection="1">
      <alignment/>
      <protection/>
    </xf>
    <xf numFmtId="0" fontId="10" fillId="0" borderId="57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1" fillId="0" borderId="66" xfId="0" applyFont="1" applyFill="1" applyBorder="1" applyAlignment="1" applyProtection="1">
      <alignment horizontal="left"/>
      <protection/>
    </xf>
    <xf numFmtId="0" fontId="11" fillId="0" borderId="41" xfId="0" applyFont="1" applyFill="1" applyBorder="1" applyAlignment="1" applyProtection="1">
      <alignment horizontal="left"/>
      <protection/>
    </xf>
    <xf numFmtId="0" fontId="11" fillId="0" borderId="42" xfId="0" applyFont="1" applyFill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171" fontId="6" fillId="0" borderId="104" xfId="63" applyFont="1" applyBorder="1" applyAlignment="1" applyProtection="1">
      <alignment horizontal="center"/>
      <protection/>
    </xf>
    <xf numFmtId="171" fontId="6" fillId="0" borderId="39" xfId="63" applyFont="1" applyBorder="1" applyAlignment="1" applyProtection="1">
      <alignment horizontal="center"/>
      <protection/>
    </xf>
    <xf numFmtId="179" fontId="6" fillId="0" borderId="66" xfId="0" applyNumberFormat="1" applyFont="1" applyBorder="1" applyAlignment="1" applyProtection="1">
      <alignment horizontal="center"/>
      <protection/>
    </xf>
    <xf numFmtId="179" fontId="6" fillId="0" borderId="41" xfId="0" applyNumberFormat="1" applyFont="1" applyBorder="1" applyAlignment="1" applyProtection="1">
      <alignment horizontal="center"/>
      <protection/>
    </xf>
    <xf numFmtId="171" fontId="11" fillId="0" borderId="79" xfId="63" applyFont="1" applyBorder="1" applyAlignment="1" applyProtection="1">
      <alignment horizontal="center"/>
      <protection/>
    </xf>
    <xf numFmtId="171" fontId="11" fillId="0" borderId="58" xfId="63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34" borderId="66" xfId="0" applyFont="1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53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0" fontId="10" fillId="0" borderId="71" xfId="0" applyFont="1" applyBorder="1" applyAlignment="1" applyProtection="1">
      <alignment horizontal="left"/>
      <protection/>
    </xf>
    <xf numFmtId="0" fontId="10" fillId="0" borderId="56" xfId="0" applyFont="1" applyBorder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14" fontId="6" fillId="0" borderId="13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10" fillId="0" borderId="91" xfId="0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8" fillId="0" borderId="66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05" xfId="0" applyFont="1" applyBorder="1" applyAlignment="1" applyProtection="1">
      <alignment horizontal="center"/>
      <protection/>
    </xf>
    <xf numFmtId="0" fontId="6" fillId="0" borderId="106" xfId="0" applyFont="1" applyBorder="1" applyAlignment="1" applyProtection="1">
      <alignment horizontal="center"/>
      <protection/>
    </xf>
    <xf numFmtId="0" fontId="6" fillId="0" borderId="10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/>
      <protection/>
    </xf>
    <xf numFmtId="0" fontId="6" fillId="0" borderId="108" xfId="0" applyFont="1" applyBorder="1" applyAlignment="1" applyProtection="1">
      <alignment horizontal="center"/>
      <protection/>
    </xf>
    <xf numFmtId="171" fontId="11" fillId="0" borderId="71" xfId="63" applyFont="1" applyFill="1" applyBorder="1" applyAlignment="1" applyProtection="1">
      <alignment horizontal="center"/>
      <protection/>
    </xf>
    <xf numFmtId="171" fontId="11" fillId="0" borderId="56" xfId="63" applyFont="1" applyFill="1" applyBorder="1" applyAlignment="1" applyProtection="1">
      <alignment horizontal="center"/>
      <protection/>
    </xf>
    <xf numFmtId="171" fontId="11" fillId="0" borderId="79" xfId="63" applyFont="1" applyFill="1" applyBorder="1" applyAlignment="1" applyProtection="1">
      <alignment horizontal="center"/>
      <protection/>
    </xf>
    <xf numFmtId="171" fontId="11" fillId="0" borderId="109" xfId="0" applyNumberFormat="1" applyFont="1" applyBorder="1" applyAlignment="1" applyProtection="1">
      <alignment horizontal="center"/>
      <protection/>
    </xf>
    <xf numFmtId="171" fontId="11" fillId="0" borderId="58" xfId="0" applyNumberFormat="1" applyFont="1" applyBorder="1" applyAlignment="1" applyProtection="1">
      <alignment horizontal="center"/>
      <protection/>
    </xf>
    <xf numFmtId="171" fontId="11" fillId="0" borderId="57" xfId="0" applyNumberFormat="1" applyFont="1" applyBorder="1" applyAlignment="1" applyProtection="1">
      <alignment horizontal="center"/>
      <protection/>
    </xf>
    <xf numFmtId="171" fontId="11" fillId="0" borderId="75" xfId="63" applyFont="1" applyFill="1" applyBorder="1" applyAlignment="1" applyProtection="1">
      <alignment horizontal="center"/>
      <protection/>
    </xf>
    <xf numFmtId="171" fontId="11" fillId="0" borderId="110" xfId="63" applyFont="1" applyBorder="1" applyAlignment="1" applyProtection="1">
      <alignment horizontal="center"/>
      <protection/>
    </xf>
    <xf numFmtId="171" fontId="11" fillId="0" borderId="55" xfId="63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1" fillId="0" borderId="66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 applyProtection="1">
      <alignment horizontal="center"/>
      <protection/>
    </xf>
    <xf numFmtId="14" fontId="6" fillId="34" borderId="66" xfId="0" applyNumberFormat="1" applyFont="1" applyFill="1" applyBorder="1" applyAlignment="1" applyProtection="1">
      <alignment horizontal="center"/>
      <protection locked="0"/>
    </xf>
    <xf numFmtId="0" fontId="6" fillId="34" borderId="41" xfId="0" applyFont="1" applyFill="1" applyBorder="1" applyAlignment="1" applyProtection="1">
      <alignment horizontal="center"/>
      <protection locked="0"/>
    </xf>
    <xf numFmtId="0" fontId="6" fillId="34" borderId="42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6" fillId="0" borderId="66" xfId="0" applyFont="1" applyBorder="1" applyAlignment="1" applyProtection="1">
      <alignment horizontal="right"/>
      <protection/>
    </xf>
    <xf numFmtId="0" fontId="0" fillId="0" borderId="41" xfId="0" applyBorder="1" applyAlignment="1" applyProtection="1">
      <alignment horizontal="right"/>
      <protection/>
    </xf>
    <xf numFmtId="4" fontId="6" fillId="0" borderId="66" xfId="0" applyNumberFormat="1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171" fontId="11" fillId="0" borderId="28" xfId="63" applyFont="1" applyFill="1" applyBorder="1" applyAlignment="1" applyProtection="1">
      <alignment horizontal="center"/>
      <protection/>
    </xf>
    <xf numFmtId="171" fontId="11" fillId="0" borderId="53" xfId="63" applyFont="1" applyFill="1" applyBorder="1" applyAlignment="1" applyProtection="1">
      <alignment horizontal="center"/>
      <protection/>
    </xf>
    <xf numFmtId="171" fontId="11" fillId="0" borderId="110" xfId="63" applyFont="1" applyFill="1" applyBorder="1" applyAlignment="1" applyProtection="1">
      <alignment horizontal="center"/>
      <protection/>
    </xf>
    <xf numFmtId="171" fontId="11" fillId="0" borderId="111" xfId="63" applyFont="1" applyBorder="1" applyAlignment="1" applyProtection="1">
      <alignment horizontal="center"/>
      <protection/>
    </xf>
    <xf numFmtId="171" fontId="11" fillId="0" borderId="111" xfId="63" applyFont="1" applyFill="1" applyBorder="1" applyAlignment="1" applyProtection="1">
      <alignment horizontal="center"/>
      <protection/>
    </xf>
    <xf numFmtId="171" fontId="11" fillId="0" borderId="75" xfId="63" applyFont="1" applyBorder="1" applyAlignment="1" applyProtection="1">
      <alignment horizontal="center"/>
      <protection/>
    </xf>
    <xf numFmtId="171" fontId="11" fillId="0" borderId="90" xfId="63" applyFont="1" applyFill="1" applyBorder="1" applyAlignment="1" applyProtection="1">
      <alignment horizontal="center"/>
      <protection/>
    </xf>
    <xf numFmtId="171" fontId="11" fillId="0" borderId="91" xfId="63" applyFont="1" applyFill="1" applyBorder="1" applyAlignment="1" applyProtection="1">
      <alignment horizontal="center"/>
      <protection/>
    </xf>
    <xf numFmtId="0" fontId="11" fillId="0" borderId="94" xfId="0" applyFont="1" applyBorder="1" applyAlignment="1" applyProtection="1">
      <alignment horizontal="center"/>
      <protection/>
    </xf>
    <xf numFmtId="0" fontId="11" fillId="0" borderId="89" xfId="0" applyFont="1" applyBorder="1" applyAlignment="1" applyProtection="1">
      <alignment horizontal="center"/>
      <protection/>
    </xf>
    <xf numFmtId="0" fontId="10" fillId="0" borderId="79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left"/>
      <protection/>
    </xf>
    <xf numFmtId="0" fontId="18" fillId="0" borderId="53" xfId="0" applyFont="1" applyBorder="1" applyAlignment="1" applyProtection="1">
      <alignment horizontal="left"/>
      <protection/>
    </xf>
    <xf numFmtId="0" fontId="18" fillId="0" borderId="29" xfId="0" applyFont="1" applyBorder="1" applyAlignment="1" applyProtection="1">
      <alignment horizontal="left"/>
      <protection/>
    </xf>
    <xf numFmtId="171" fontId="11" fillId="0" borderId="112" xfId="63" applyFont="1" applyBorder="1" applyAlignment="1" applyProtection="1">
      <alignment horizontal="right"/>
      <protection/>
    </xf>
    <xf numFmtId="171" fontId="11" fillId="0" borderId="55" xfId="63" applyFont="1" applyBorder="1" applyAlignment="1" applyProtection="1">
      <alignment horizontal="right"/>
      <protection/>
    </xf>
    <xf numFmtId="171" fontId="11" fillId="0" borderId="54" xfId="63" applyFont="1" applyBorder="1" applyAlignment="1" applyProtection="1">
      <alignment horizontal="right"/>
      <protection/>
    </xf>
    <xf numFmtId="171" fontId="11" fillId="0" borderId="110" xfId="0" applyNumberFormat="1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8" fillId="0" borderId="113" xfId="0" applyFont="1" applyBorder="1" applyAlignment="1" applyProtection="1">
      <alignment horizontal="left"/>
      <protection/>
    </xf>
    <xf numFmtId="0" fontId="18" fillId="0" borderId="86" xfId="0" applyFont="1" applyBorder="1" applyAlignment="1" applyProtection="1">
      <alignment horizontal="left"/>
      <protection/>
    </xf>
    <xf numFmtId="0" fontId="18" fillId="0" borderId="59" xfId="0" applyFont="1" applyBorder="1" applyAlignment="1" applyProtection="1">
      <alignment horizontal="left"/>
      <protection/>
    </xf>
    <xf numFmtId="171" fontId="11" fillId="0" borderId="113" xfId="63" applyFont="1" applyBorder="1" applyAlignment="1" applyProtection="1">
      <alignment horizontal="right"/>
      <protection/>
    </xf>
    <xf numFmtId="171" fontId="11" fillId="0" borderId="86" xfId="63" applyFont="1" applyBorder="1" applyAlignment="1" applyProtection="1">
      <alignment horizontal="right"/>
      <protection/>
    </xf>
    <xf numFmtId="171" fontId="11" fillId="0" borderId="59" xfId="63" applyFont="1" applyBorder="1" applyAlignment="1" applyProtection="1">
      <alignment horizontal="right"/>
      <protection/>
    </xf>
    <xf numFmtId="171" fontId="11" fillId="0" borderId="114" xfId="0" applyNumberFormat="1" applyFont="1" applyBorder="1" applyAlignment="1" applyProtection="1">
      <alignment horizontal="center"/>
      <protection/>
    </xf>
    <xf numFmtId="0" fontId="11" fillId="0" borderId="86" xfId="0" applyFont="1" applyBorder="1" applyAlignment="1" applyProtection="1">
      <alignment horizontal="center"/>
      <protection/>
    </xf>
    <xf numFmtId="171" fontId="11" fillId="0" borderId="94" xfId="63" applyFont="1" applyBorder="1" applyAlignment="1" applyProtection="1">
      <alignment horizontal="right"/>
      <protection/>
    </xf>
    <xf numFmtId="171" fontId="11" fillId="0" borderId="60" xfId="63" applyFont="1" applyBorder="1" applyAlignment="1" applyProtection="1">
      <alignment horizontal="right"/>
      <protection/>
    </xf>
    <xf numFmtId="171" fontId="11" fillId="0" borderId="89" xfId="63" applyFont="1" applyBorder="1" applyAlignment="1" applyProtection="1">
      <alignment horizontal="right"/>
      <protection/>
    </xf>
    <xf numFmtId="171" fontId="11" fillId="0" borderId="91" xfId="63" applyFont="1" applyBorder="1" applyAlignment="1" applyProtection="1">
      <alignment horizontal="center"/>
      <protection/>
    </xf>
    <xf numFmtId="171" fontId="11" fillId="0" borderId="62" xfId="63" applyFont="1" applyBorder="1" applyAlignment="1" applyProtection="1">
      <alignment horizontal="center"/>
      <protection/>
    </xf>
    <xf numFmtId="171" fontId="11" fillId="0" borderId="90" xfId="63" applyFont="1" applyBorder="1" applyAlignment="1" applyProtection="1">
      <alignment horizontal="center"/>
      <protection/>
    </xf>
    <xf numFmtId="171" fontId="11" fillId="0" borderId="94" xfId="63" applyFont="1" applyFill="1" applyBorder="1" applyAlignment="1" applyProtection="1">
      <alignment horizontal="center"/>
      <protection/>
    </xf>
    <xf numFmtId="171" fontId="11" fillId="0" borderId="60" xfId="63" applyFont="1" applyFill="1" applyBorder="1" applyAlignment="1" applyProtection="1">
      <alignment horizontal="center"/>
      <protection/>
    </xf>
    <xf numFmtId="171" fontId="11" fillId="0" borderId="55" xfId="0" applyNumberFormat="1" applyFont="1" applyBorder="1" applyAlignment="1" applyProtection="1">
      <alignment horizontal="center"/>
      <protection/>
    </xf>
    <xf numFmtId="171" fontId="11" fillId="0" borderId="112" xfId="63" applyFont="1" applyBorder="1" applyAlignment="1" applyProtection="1">
      <alignment horizontal="center"/>
      <protection/>
    </xf>
    <xf numFmtId="171" fontId="11" fillId="0" borderId="86" xfId="63" applyFont="1" applyBorder="1" applyAlignment="1" applyProtection="1">
      <alignment horizontal="center"/>
      <protection/>
    </xf>
    <xf numFmtId="171" fontId="11" fillId="0" borderId="113" xfId="63" applyFont="1" applyBorder="1" applyAlignment="1" applyProtection="1">
      <alignment horizontal="center"/>
      <protection/>
    </xf>
    <xf numFmtId="171" fontId="11" fillId="0" borderId="86" xfId="0" applyNumberFormat="1" applyFont="1" applyBorder="1" applyAlignment="1" applyProtection="1">
      <alignment horizontal="center"/>
      <protection/>
    </xf>
    <xf numFmtId="171" fontId="11" fillId="0" borderId="112" xfId="0" applyNumberFormat="1" applyFont="1" applyBorder="1" applyAlignment="1" applyProtection="1">
      <alignment horizontal="center"/>
      <protection/>
    </xf>
    <xf numFmtId="171" fontId="11" fillId="0" borderId="54" xfId="0" applyNumberFormat="1" applyFont="1" applyBorder="1" applyAlignment="1" applyProtection="1">
      <alignment horizontal="center"/>
      <protection/>
    </xf>
    <xf numFmtId="0" fontId="10" fillId="0" borderId="71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/>
      <protection/>
    </xf>
    <xf numFmtId="0" fontId="0" fillId="0" borderId="66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2" fontId="11" fillId="0" borderId="35" xfId="0" applyNumberFormat="1" applyFont="1" applyFill="1" applyBorder="1" applyAlignment="1" applyProtection="1">
      <alignment horizontal="right" vertical="center"/>
      <protection/>
    </xf>
    <xf numFmtId="2" fontId="11" fillId="0" borderId="35" xfId="0" applyNumberFormat="1" applyFont="1" applyBorder="1" applyAlignment="1">
      <alignment horizontal="right" vertical="center"/>
    </xf>
    <xf numFmtId="4" fontId="11" fillId="0" borderId="0" xfId="63" applyNumberFormat="1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190" fontId="6" fillId="0" borderId="0" xfId="0" applyNumberFormat="1" applyFont="1" applyAlignment="1" applyProtection="1">
      <alignment horizontal="center"/>
      <protection/>
    </xf>
    <xf numFmtId="190" fontId="0" fillId="0" borderId="0" xfId="0" applyNumberFormat="1" applyAlignment="1" applyProtection="1">
      <alignment horizontal="center"/>
      <protection/>
    </xf>
    <xf numFmtId="0" fontId="6" fillId="0" borderId="66" xfId="0" applyFont="1" applyBorder="1" applyAlignment="1" applyProtection="1">
      <alignment horizontal="right" vertical="top"/>
      <protection/>
    </xf>
    <xf numFmtId="0" fontId="0" fillId="0" borderId="41" xfId="0" applyBorder="1" applyAlignment="1" applyProtection="1">
      <alignment horizontal="right" vertical="top"/>
      <protection/>
    </xf>
    <xf numFmtId="0" fontId="6" fillId="0" borderId="41" xfId="0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horizontal="left" vertical="top"/>
      <protection/>
    </xf>
    <xf numFmtId="0" fontId="0" fillId="0" borderId="42" xfId="0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4" fontId="6" fillId="0" borderId="63" xfId="0" applyNumberFormat="1" applyFont="1" applyBorder="1" applyAlignment="1" applyProtection="1">
      <alignment horizontal="right" vertical="top" indent="1"/>
      <protection/>
    </xf>
    <xf numFmtId="0" fontId="0" fillId="0" borderId="64" xfId="0" applyBorder="1" applyAlignment="1" applyProtection="1">
      <alignment horizontal="right" vertical="top" indent="1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66" xfId="0" applyFont="1" applyBorder="1" applyAlignment="1" applyProtection="1">
      <alignment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2" xfId="0" applyBorder="1" applyAlignment="1" applyProtection="1">
      <alignment vertical="top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6" fillId="0" borderId="0" xfId="50" applyFont="1" applyBorder="1" applyAlignment="1" applyProtection="1">
      <alignment horizontal="left" vertical="top"/>
      <protection/>
    </xf>
    <xf numFmtId="0" fontId="6" fillId="0" borderId="66" xfId="0" applyFont="1" applyBorder="1" applyAlignment="1" applyProtection="1">
      <alignment horizontal="left" vertical="top"/>
      <protection/>
    </xf>
    <xf numFmtId="0" fontId="6" fillId="0" borderId="42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vertical="top"/>
      <protection/>
    </xf>
    <xf numFmtId="4" fontId="6" fillId="0" borderId="17" xfId="0" applyNumberFormat="1" applyFont="1" applyBorder="1" applyAlignment="1" applyProtection="1">
      <alignment horizontal="right" vertical="top" indent="1"/>
      <protection/>
    </xf>
    <xf numFmtId="0" fontId="6" fillId="0" borderId="0" xfId="0" applyFont="1" applyBorder="1" applyAlignment="1" applyProtection="1">
      <alignment horizontal="left" vertical="top"/>
      <protection/>
    </xf>
    <xf numFmtId="4" fontId="6" fillId="0" borderId="18" xfId="0" applyNumberFormat="1" applyFont="1" applyBorder="1" applyAlignment="1" applyProtection="1">
      <alignment horizontal="right" vertical="top" indent="1"/>
      <protection/>
    </xf>
    <xf numFmtId="0" fontId="6" fillId="0" borderId="18" xfId="0" applyFont="1" applyBorder="1" applyAlignment="1" applyProtection="1">
      <alignment vertical="top"/>
      <protection/>
    </xf>
    <xf numFmtId="0" fontId="8" fillId="0" borderId="66" xfId="0" applyFont="1" applyBorder="1" applyAlignment="1" applyProtection="1">
      <alignment horizontal="left" vertical="top"/>
      <protection/>
    </xf>
    <xf numFmtId="0" fontId="8" fillId="0" borderId="42" xfId="0" applyFont="1" applyBorder="1" applyAlignment="1" applyProtection="1">
      <alignment horizontal="left" vertical="top"/>
      <protection/>
    </xf>
    <xf numFmtId="0" fontId="6" fillId="0" borderId="0" xfId="50" applyFont="1" applyBorder="1" applyAlignment="1" applyProtection="1">
      <alignment vertical="top"/>
      <protection/>
    </xf>
    <xf numFmtId="0" fontId="8" fillId="0" borderId="18" xfId="0" applyFont="1" applyBorder="1" applyAlignment="1" applyProtection="1">
      <alignment horizontal="left" vertical="top"/>
      <protection/>
    </xf>
    <xf numFmtId="0" fontId="6" fillId="0" borderId="41" xfId="50" applyFont="1" applyBorder="1" applyAlignment="1" applyProtection="1">
      <alignment horizontal="left"/>
      <protection/>
    </xf>
    <xf numFmtId="4" fontId="6" fillId="0" borderId="41" xfId="50" applyNumberFormat="1" applyFont="1" applyBorder="1" applyAlignment="1" applyProtection="1">
      <alignment vertical="top"/>
      <protection/>
    </xf>
    <xf numFmtId="0" fontId="6" fillId="0" borderId="41" xfId="50" applyFont="1" applyBorder="1" applyAlignment="1" applyProtection="1">
      <alignment vertical="top"/>
      <protection/>
    </xf>
    <xf numFmtId="4" fontId="8" fillId="0" borderId="41" xfId="50" applyNumberFormat="1" applyFont="1" applyBorder="1" applyAlignment="1" applyProtection="1">
      <alignment vertical="top"/>
      <protection/>
    </xf>
    <xf numFmtId="0" fontId="8" fillId="0" borderId="41" xfId="50" applyFont="1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 wrapText="1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6" fillId="0" borderId="66" xfId="0" applyFont="1" applyBorder="1" applyAlignment="1" applyProtection="1">
      <alignment horizontal="right" vertical="center" wrapText="1"/>
      <protection/>
    </xf>
    <xf numFmtId="0" fontId="0" fillId="0" borderId="41" xfId="0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4" fontId="6" fillId="0" borderId="14" xfId="0" applyNumberFormat="1" applyFont="1" applyBorder="1" applyAlignment="1" applyProtection="1">
      <alignment vertical="top" wrapText="1"/>
      <protection/>
    </xf>
    <xf numFmtId="0" fontId="11" fillId="0" borderId="19" xfId="0" applyFont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4" fontId="0" fillId="0" borderId="0" xfId="0" applyNumberFormat="1" applyBorder="1" applyAlignment="1" applyProtection="1">
      <alignment vertical="top" wrapText="1"/>
      <protection/>
    </xf>
    <xf numFmtId="4" fontId="6" fillId="0" borderId="66" xfId="0" applyNumberFormat="1" applyFont="1" applyBorder="1" applyAlignment="1" applyProtection="1">
      <alignment horizontal="center" vertical="top" wrapText="1"/>
      <protection/>
    </xf>
    <xf numFmtId="4" fontId="6" fillId="0" borderId="41" xfId="0" applyNumberFormat="1" applyFont="1" applyBorder="1" applyAlignment="1" applyProtection="1">
      <alignment horizontal="center" vertical="top" wrapText="1"/>
      <protection/>
    </xf>
    <xf numFmtId="0" fontId="27" fillId="0" borderId="46" xfId="0" applyFont="1" applyBorder="1" applyAlignment="1" applyProtection="1">
      <alignment horizontal="center" vertical="center"/>
      <protection/>
    </xf>
    <xf numFmtId="0" fontId="27" fillId="0" borderId="49" xfId="0" applyFont="1" applyBorder="1" applyAlignment="1" applyProtection="1">
      <alignment horizontal="center" vertical="center"/>
      <protection/>
    </xf>
    <xf numFmtId="4" fontId="6" fillId="0" borderId="63" xfId="0" applyNumberFormat="1" applyFont="1" applyBorder="1" applyAlignment="1" applyProtection="1">
      <alignment horizontal="center" vertical="top" wrapText="1"/>
      <protection/>
    </xf>
    <xf numFmtId="4" fontId="6" fillId="0" borderId="64" xfId="0" applyNumberFormat="1" applyFont="1" applyBorder="1" applyAlignment="1" applyProtection="1">
      <alignment horizontal="center" vertical="top" wrapText="1"/>
      <protection/>
    </xf>
    <xf numFmtId="4" fontId="6" fillId="0" borderId="95" xfId="0" applyNumberFormat="1" applyFont="1" applyBorder="1" applyAlignment="1" applyProtection="1">
      <alignment horizontal="center" vertical="top" wrapText="1"/>
      <protection/>
    </xf>
    <xf numFmtId="0" fontId="0" fillId="0" borderId="72" xfId="0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4" fontId="6" fillId="0" borderId="34" xfId="0" applyNumberFormat="1" applyFont="1" applyBorder="1" applyAlignment="1" applyProtection="1">
      <alignment horizontal="center" vertical="top" wrapText="1"/>
      <protection/>
    </xf>
    <xf numFmtId="4" fontId="0" fillId="0" borderId="95" xfId="0" applyNumberFormat="1" applyBorder="1" applyAlignment="1" applyProtection="1">
      <alignment horizontal="center" vertical="top" wrapText="1"/>
      <protection/>
    </xf>
    <xf numFmtId="4" fontId="0" fillId="0" borderId="64" xfId="0" applyNumberFormat="1" applyBorder="1" applyAlignment="1" applyProtection="1">
      <alignment horizontal="center" vertical="top" wrapText="1"/>
      <protection/>
    </xf>
    <xf numFmtId="0" fontId="29" fillId="35" borderId="115" xfId="0" applyFont="1" applyFill="1" applyBorder="1" applyAlignment="1" applyProtection="1">
      <alignment horizontal="center"/>
      <protection/>
    </xf>
    <xf numFmtId="0" fontId="29" fillId="35" borderId="116" xfId="0" applyFont="1" applyFill="1" applyBorder="1" applyAlignment="1" applyProtection="1">
      <alignment horizontal="center"/>
      <protection/>
    </xf>
    <xf numFmtId="0" fontId="29" fillId="35" borderId="117" xfId="0" applyFont="1" applyFill="1" applyBorder="1" applyAlignment="1" applyProtection="1">
      <alignment horizontal="center"/>
      <protection/>
    </xf>
    <xf numFmtId="4" fontId="6" fillId="0" borderId="66" xfId="0" applyNumberFormat="1" applyFont="1" applyBorder="1" applyAlignment="1" applyProtection="1">
      <alignment vertical="top" wrapText="1"/>
      <protection/>
    </xf>
    <xf numFmtId="4" fontId="6" fillId="0" borderId="41" xfId="0" applyNumberFormat="1" applyFont="1" applyBorder="1" applyAlignment="1" applyProtection="1">
      <alignment vertical="top" wrapText="1"/>
      <protection/>
    </xf>
    <xf numFmtId="4" fontId="6" fillId="0" borderId="42" xfId="0" applyNumberFormat="1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66" xfId="0" applyFont="1" applyBorder="1" applyAlignment="1" applyProtection="1">
      <alignment vertical="top" wrapText="1"/>
      <protection/>
    </xf>
    <xf numFmtId="0" fontId="0" fillId="0" borderId="41" xfId="0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 wrapText="1"/>
      <protection/>
    </xf>
    <xf numFmtId="4" fontId="0" fillId="0" borderId="66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RVT FL - 0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64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22</xdr:row>
      <xdr:rowOff>47625</xdr:rowOff>
    </xdr:from>
    <xdr:to>
      <xdr:col>16</xdr:col>
      <xdr:colOff>0</xdr:colOff>
      <xdr:row>25</xdr:row>
      <xdr:rowOff>28575</xdr:rowOff>
    </xdr:to>
    <xdr:sp>
      <xdr:nvSpPr>
        <xdr:cNvPr id="1" name="AutoShape 16"/>
        <xdr:cNvSpPr>
          <a:spLocks/>
        </xdr:cNvSpPr>
      </xdr:nvSpPr>
      <xdr:spPr>
        <a:xfrm>
          <a:off x="13096875" y="4572000"/>
          <a:ext cx="0" cy="571500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094305\Meus%20documentos\Trab\Vera%20Cruz\MCidades%200265030%20pav\Planilha%20comparativa%20Recape%20-%20CBU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ÁLCULO"/>
      <sheetName val="QCI "/>
      <sheetName val="PLANILHA "/>
      <sheetName val="CRONO GERA"/>
      <sheetName val="REFF"/>
    </sheetNames>
    <sheetDataSet>
      <sheetData sheetId="0">
        <row r="6">
          <cell r="G6">
            <v>101664.90896899998</v>
          </cell>
        </row>
        <row r="8">
          <cell r="G8">
            <v>3464.908968999982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Zeros="0" view="pageBreakPreview" zoomScale="75" zoomScaleSheetLayoutView="75" zoomScalePageLayoutView="0" workbookViewId="0" topLeftCell="A1">
      <selection activeCell="G8" sqref="G8:H8"/>
    </sheetView>
  </sheetViews>
  <sheetFormatPr defaultColWidth="9.140625" defaultRowHeight="12.75"/>
  <cols>
    <col min="1" max="1" width="25.7109375" style="31" customWidth="1"/>
    <col min="2" max="2" width="13.00390625" style="31" customWidth="1"/>
    <col min="3" max="3" width="8.7109375" style="31" customWidth="1"/>
    <col min="4" max="4" width="6.28125" style="31" customWidth="1"/>
    <col min="5" max="5" width="13.421875" style="31" customWidth="1"/>
    <col min="6" max="7" width="9.140625" style="31" customWidth="1"/>
    <col min="8" max="8" width="10.57421875" style="31" customWidth="1"/>
    <col min="9" max="16384" width="9.140625" style="31" customWidth="1"/>
  </cols>
  <sheetData>
    <row r="1" spans="1:10" s="181" customFormat="1" ht="15.75" customHeight="1">
      <c r="A1" s="193" t="s">
        <v>72</v>
      </c>
      <c r="B1" s="645" t="s">
        <v>176</v>
      </c>
      <c r="C1" s="645"/>
      <c r="D1" s="645"/>
      <c r="E1" s="645"/>
      <c r="F1" s="197"/>
      <c r="G1" s="650" t="s">
        <v>70</v>
      </c>
      <c r="H1" s="651"/>
      <c r="I1" s="180"/>
      <c r="J1" s="180"/>
    </row>
    <row r="2" spans="1:10" s="181" customFormat="1" ht="15.75" customHeight="1">
      <c r="A2" s="194" t="s">
        <v>69</v>
      </c>
      <c r="B2" s="648" t="s">
        <v>172</v>
      </c>
      <c r="C2" s="648"/>
      <c r="D2" s="648"/>
      <c r="E2" s="648"/>
      <c r="F2" s="198"/>
      <c r="G2" s="652">
        <v>40255</v>
      </c>
      <c r="H2" s="653"/>
      <c r="I2" s="55"/>
      <c r="J2" s="55"/>
    </row>
    <row r="3" spans="1:10" s="181" customFormat="1" ht="15.75" customHeight="1">
      <c r="A3" s="195" t="s">
        <v>68</v>
      </c>
      <c r="B3" s="649" t="s">
        <v>188</v>
      </c>
      <c r="C3" s="649"/>
      <c r="D3" s="649"/>
      <c r="E3" s="649"/>
      <c r="F3" s="199"/>
      <c r="G3" s="663" t="s">
        <v>96</v>
      </c>
      <c r="H3" s="664"/>
      <c r="I3" s="55"/>
      <c r="J3" s="55"/>
    </row>
    <row r="4" spans="1:10" s="181" customFormat="1" ht="15.75" customHeight="1">
      <c r="A4" s="195" t="s">
        <v>93</v>
      </c>
      <c r="B4" s="656" t="s">
        <v>165</v>
      </c>
      <c r="C4" s="657"/>
      <c r="D4" s="657"/>
      <c r="E4" s="657"/>
      <c r="F4" s="658"/>
      <c r="G4" s="200" t="s">
        <v>97</v>
      </c>
      <c r="H4" s="201" t="s">
        <v>98</v>
      </c>
      <c r="I4" s="55"/>
      <c r="J4" s="55"/>
    </row>
    <row r="5" spans="1:10" s="181" customFormat="1" ht="15.75" customHeight="1" thickBot="1">
      <c r="A5" s="195" t="s">
        <v>94</v>
      </c>
      <c r="B5" s="685"/>
      <c r="C5" s="686"/>
      <c r="D5" s="686"/>
      <c r="E5" s="686"/>
      <c r="F5" s="687"/>
      <c r="G5" s="182" t="s">
        <v>166</v>
      </c>
      <c r="H5" s="183"/>
      <c r="I5" s="55"/>
      <c r="J5" s="55"/>
    </row>
    <row r="6" spans="1:8" ht="12.75">
      <c r="A6" s="202" t="s">
        <v>59</v>
      </c>
      <c r="B6" s="184" t="s">
        <v>190</v>
      </c>
      <c r="C6" s="659" t="s">
        <v>89</v>
      </c>
      <c r="D6" s="660"/>
      <c r="E6" s="688" t="s">
        <v>57</v>
      </c>
      <c r="F6" s="689"/>
      <c r="G6" s="683">
        <f>'PLANILHA '!P43</f>
        <v>1162329.882406</v>
      </c>
      <c r="H6" s="684"/>
    </row>
    <row r="7" spans="1:8" ht="12.75">
      <c r="A7" s="196" t="s">
        <v>90</v>
      </c>
      <c r="B7" s="239">
        <v>13302.5</v>
      </c>
      <c r="C7" s="654" t="s">
        <v>91</v>
      </c>
      <c r="D7" s="655"/>
      <c r="E7" s="690" t="s">
        <v>58</v>
      </c>
      <c r="F7" s="691"/>
      <c r="G7" s="661">
        <v>223516.72</v>
      </c>
      <c r="H7" s="662"/>
    </row>
    <row r="8" spans="1:8" ht="12.75">
      <c r="A8" s="196" t="s">
        <v>104</v>
      </c>
      <c r="B8" s="239">
        <v>42</v>
      </c>
      <c r="C8" s="238" t="s">
        <v>87</v>
      </c>
      <c r="D8" s="236">
        <v>1</v>
      </c>
      <c r="E8" s="690" t="s">
        <v>12</v>
      </c>
      <c r="F8" s="691"/>
      <c r="G8" s="692">
        <f>G6-G7</f>
        <v>938813.1624060001</v>
      </c>
      <c r="H8" s="693"/>
    </row>
    <row r="9" spans="1:8" ht="15">
      <c r="A9" s="196" t="s">
        <v>100</v>
      </c>
      <c r="B9" s="239">
        <v>0</v>
      </c>
      <c r="C9" s="238" t="s">
        <v>88</v>
      </c>
      <c r="D9" s="236"/>
      <c r="E9" s="237" t="s">
        <v>102</v>
      </c>
      <c r="F9" s="381" t="str">
        <f>IF(G9&gt;G11,"OK",FALSE)</f>
        <v>OK</v>
      </c>
      <c r="G9" s="694">
        <f>G8/G6</f>
        <v>0.8076994118594587</v>
      </c>
      <c r="H9" s="695"/>
    </row>
    <row r="10" spans="1:8" ht="12.75">
      <c r="A10" s="196" t="s">
        <v>140</v>
      </c>
      <c r="B10" s="240">
        <v>0</v>
      </c>
      <c r="C10" s="390" t="s">
        <v>173</v>
      </c>
      <c r="D10" s="391"/>
      <c r="E10" s="635" t="s">
        <v>67</v>
      </c>
      <c r="F10" s="636"/>
      <c r="G10" s="646">
        <v>1125</v>
      </c>
      <c r="H10" s="647"/>
    </row>
    <row r="11" spans="1:8" s="43" customFormat="1" ht="13.5" thickBot="1">
      <c r="A11" s="315" t="s">
        <v>101</v>
      </c>
      <c r="B11" s="316">
        <v>2</v>
      </c>
      <c r="C11" s="392" t="s">
        <v>99</v>
      </c>
      <c r="D11" s="401"/>
      <c r="E11" s="637" t="s">
        <v>103</v>
      </c>
      <c r="F11" s="638"/>
      <c r="G11" s="696">
        <v>0.03</v>
      </c>
      <c r="H11" s="697"/>
    </row>
    <row r="12" spans="1:8" s="43" customFormat="1" ht="12.75">
      <c r="A12" s="393" t="s">
        <v>141</v>
      </c>
      <c r="B12" s="316">
        <v>83</v>
      </c>
      <c r="C12" s="382"/>
      <c r="D12" s="314"/>
      <c r="E12" s="643" t="s">
        <v>167</v>
      </c>
      <c r="F12" s="644"/>
      <c r="G12" s="383" t="s">
        <v>169</v>
      </c>
      <c r="H12" s="385"/>
    </row>
    <row r="13" spans="1:8" s="43" customFormat="1" ht="13.5" thickBot="1">
      <c r="A13" s="394" t="s">
        <v>175</v>
      </c>
      <c r="B13" s="395">
        <v>0</v>
      </c>
      <c r="C13" s="388">
        <f>IF(B12&lt;=0,0,B12-0)</f>
        <v>83</v>
      </c>
      <c r="D13" s="389">
        <f>D8+D11</f>
        <v>1</v>
      </c>
      <c r="E13" s="639" t="s">
        <v>168</v>
      </c>
      <c r="F13" s="640"/>
      <c r="G13" s="384" t="s">
        <v>170</v>
      </c>
      <c r="H13" s="386">
        <v>1</v>
      </c>
    </row>
    <row r="14" spans="1:10" ht="12.75">
      <c r="A14" s="671" t="s">
        <v>46</v>
      </c>
      <c r="B14" s="672"/>
      <c r="C14" s="672"/>
      <c r="D14" s="672"/>
      <c r="E14" s="672"/>
      <c r="F14" s="672"/>
      <c r="G14" s="672"/>
      <c r="H14" s="673"/>
      <c r="I14" s="180"/>
      <c r="J14" s="180"/>
    </row>
    <row r="15" spans="1:8" ht="28.5" customHeight="1">
      <c r="A15" s="331" t="s">
        <v>48</v>
      </c>
      <c r="B15" s="641"/>
      <c r="C15" s="641"/>
      <c r="D15" s="641"/>
      <c r="E15" s="641"/>
      <c r="F15" s="641"/>
      <c r="G15" s="641"/>
      <c r="H15" s="642"/>
    </row>
    <row r="16" spans="1:8" ht="12.75">
      <c r="A16" s="172" t="s">
        <v>47</v>
      </c>
      <c r="B16" s="67"/>
      <c r="C16" s="73"/>
      <c r="D16" s="73"/>
      <c r="E16" s="73"/>
      <c r="F16" s="73"/>
      <c r="G16" s="73"/>
      <c r="H16" s="203"/>
    </row>
    <row r="17" spans="1:8" ht="12.75">
      <c r="A17" s="172"/>
      <c r="B17" s="67"/>
      <c r="C17" s="73"/>
      <c r="D17" s="73"/>
      <c r="E17" s="73"/>
      <c r="F17" s="73"/>
      <c r="G17" s="73"/>
      <c r="H17" s="203"/>
    </row>
    <row r="18" spans="1:8" ht="12.75">
      <c r="A18" s="632" t="s">
        <v>52</v>
      </c>
      <c r="B18" s="633"/>
      <c r="C18" s="204" t="s">
        <v>51</v>
      </c>
      <c r="D18" s="204"/>
      <c r="E18" s="631" t="s">
        <v>50</v>
      </c>
      <c r="F18" s="631"/>
      <c r="G18" s="631" t="s">
        <v>49</v>
      </c>
      <c r="H18" s="634"/>
    </row>
    <row r="19" spans="1:8" ht="12.75">
      <c r="A19" s="619" t="s">
        <v>177</v>
      </c>
      <c r="B19" s="620"/>
      <c r="C19" s="617">
        <v>300</v>
      </c>
      <c r="D19" s="618"/>
      <c r="E19" s="615">
        <v>8.2</v>
      </c>
      <c r="F19" s="616"/>
      <c r="G19" s="613">
        <f>C19*E19</f>
        <v>2460</v>
      </c>
      <c r="H19" s="614"/>
    </row>
    <row r="20" spans="1:8" ht="12.75">
      <c r="A20" s="619" t="s">
        <v>178</v>
      </c>
      <c r="B20" s="620"/>
      <c r="C20" s="617">
        <v>100</v>
      </c>
      <c r="D20" s="618"/>
      <c r="E20" s="615">
        <v>7.8</v>
      </c>
      <c r="F20" s="616"/>
      <c r="G20" s="613">
        <f>C20*E20</f>
        <v>780</v>
      </c>
      <c r="H20" s="614"/>
    </row>
    <row r="21" spans="1:8" ht="12.75">
      <c r="A21" s="619" t="s">
        <v>179</v>
      </c>
      <c r="B21" s="620"/>
      <c r="C21" s="617">
        <v>210</v>
      </c>
      <c r="D21" s="618"/>
      <c r="E21" s="615">
        <v>7.5</v>
      </c>
      <c r="F21" s="616"/>
      <c r="G21" s="613">
        <f aca="true" t="shared" si="0" ref="G21:G33">C21*E21</f>
        <v>1575</v>
      </c>
      <c r="H21" s="614"/>
    </row>
    <row r="22" spans="1:8" ht="12.75">
      <c r="A22" s="619" t="s">
        <v>180</v>
      </c>
      <c r="B22" s="620"/>
      <c r="C22" s="617">
        <v>75</v>
      </c>
      <c r="D22" s="618"/>
      <c r="E22" s="615">
        <v>8</v>
      </c>
      <c r="F22" s="616"/>
      <c r="G22" s="613">
        <f t="shared" si="0"/>
        <v>600</v>
      </c>
      <c r="H22" s="614"/>
    </row>
    <row r="23" spans="1:8" ht="12.75">
      <c r="A23" s="619" t="s">
        <v>187</v>
      </c>
      <c r="B23" s="620"/>
      <c r="C23" s="617">
        <v>75</v>
      </c>
      <c r="D23" s="618"/>
      <c r="E23" s="615">
        <v>8</v>
      </c>
      <c r="F23" s="616"/>
      <c r="G23" s="613">
        <f t="shared" si="0"/>
        <v>600</v>
      </c>
      <c r="H23" s="614"/>
    </row>
    <row r="24" spans="1:8" ht="12.75">
      <c r="A24" s="619" t="s">
        <v>181</v>
      </c>
      <c r="B24" s="620"/>
      <c r="C24" s="617">
        <v>110</v>
      </c>
      <c r="D24" s="618"/>
      <c r="E24" s="615">
        <v>7.4</v>
      </c>
      <c r="F24" s="616"/>
      <c r="G24" s="613">
        <f t="shared" si="0"/>
        <v>814</v>
      </c>
      <c r="H24" s="614"/>
    </row>
    <row r="25" spans="1:8" ht="12.75">
      <c r="A25" s="619" t="s">
        <v>182</v>
      </c>
      <c r="B25" s="620"/>
      <c r="C25" s="617">
        <v>110</v>
      </c>
      <c r="D25" s="618"/>
      <c r="E25" s="615">
        <v>7.8</v>
      </c>
      <c r="F25" s="616"/>
      <c r="G25" s="613">
        <f>C25*E25</f>
        <v>858</v>
      </c>
      <c r="H25" s="614"/>
    </row>
    <row r="26" spans="1:8" ht="12.75">
      <c r="A26" s="619" t="s">
        <v>183</v>
      </c>
      <c r="B26" s="620"/>
      <c r="C26" s="617">
        <v>305</v>
      </c>
      <c r="D26" s="618"/>
      <c r="E26" s="615">
        <v>7.1</v>
      </c>
      <c r="F26" s="616"/>
      <c r="G26" s="613">
        <f>C26*E26</f>
        <v>2165.5</v>
      </c>
      <c r="H26" s="614"/>
    </row>
    <row r="27" spans="1:8" ht="12.75">
      <c r="A27" s="619" t="s">
        <v>184</v>
      </c>
      <c r="B27" s="620"/>
      <c r="C27" s="617">
        <v>210</v>
      </c>
      <c r="D27" s="618"/>
      <c r="E27" s="615">
        <v>7</v>
      </c>
      <c r="F27" s="616"/>
      <c r="G27" s="613">
        <f>C27*E27</f>
        <v>1470</v>
      </c>
      <c r="H27" s="614"/>
    </row>
    <row r="28" spans="1:8" ht="12.75">
      <c r="A28" s="619" t="s">
        <v>185</v>
      </c>
      <c r="B28" s="620"/>
      <c r="C28" s="617">
        <v>90</v>
      </c>
      <c r="D28" s="618"/>
      <c r="E28" s="615">
        <v>7</v>
      </c>
      <c r="F28" s="616"/>
      <c r="G28" s="613">
        <f t="shared" si="0"/>
        <v>630</v>
      </c>
      <c r="H28" s="614"/>
    </row>
    <row r="29" spans="1:8" ht="12.75">
      <c r="A29" s="621" t="s">
        <v>186</v>
      </c>
      <c r="B29" s="622"/>
      <c r="C29" s="617">
        <v>180</v>
      </c>
      <c r="D29" s="618"/>
      <c r="E29" s="615">
        <v>7.5</v>
      </c>
      <c r="F29" s="616"/>
      <c r="G29" s="613">
        <f t="shared" si="0"/>
        <v>1350</v>
      </c>
      <c r="H29" s="614"/>
    </row>
    <row r="30" spans="1:8" ht="12.75">
      <c r="A30" s="621"/>
      <c r="B30" s="622"/>
      <c r="C30" s="617">
        <v>0</v>
      </c>
      <c r="D30" s="618"/>
      <c r="E30" s="615"/>
      <c r="F30" s="616"/>
      <c r="G30" s="613">
        <f t="shared" si="0"/>
        <v>0</v>
      </c>
      <c r="H30" s="614"/>
    </row>
    <row r="31" spans="1:8" ht="12.75">
      <c r="A31" s="621"/>
      <c r="B31" s="622"/>
      <c r="C31" s="617">
        <v>0</v>
      </c>
      <c r="D31" s="618"/>
      <c r="E31" s="615">
        <v>0</v>
      </c>
      <c r="F31" s="616"/>
      <c r="G31" s="613">
        <f t="shared" si="0"/>
        <v>0</v>
      </c>
      <c r="H31" s="614"/>
    </row>
    <row r="32" spans="1:10" ht="12.75">
      <c r="A32" s="621"/>
      <c r="B32" s="622"/>
      <c r="C32" s="617">
        <v>0</v>
      </c>
      <c r="D32" s="618"/>
      <c r="E32" s="615"/>
      <c r="F32" s="616"/>
      <c r="G32" s="613">
        <f t="shared" si="0"/>
        <v>0</v>
      </c>
      <c r="H32" s="614"/>
      <c r="J32" s="186"/>
    </row>
    <row r="33" spans="1:8" ht="12.75">
      <c r="A33" s="621"/>
      <c r="B33" s="622"/>
      <c r="C33" s="617">
        <v>0</v>
      </c>
      <c r="D33" s="618"/>
      <c r="E33" s="706"/>
      <c r="F33" s="615"/>
      <c r="G33" s="613">
        <f t="shared" si="0"/>
        <v>0</v>
      </c>
      <c r="H33" s="614"/>
    </row>
    <row r="34" spans="1:8" s="187" customFormat="1" ht="12.75">
      <c r="A34" s="623" t="s">
        <v>54</v>
      </c>
      <c r="B34" s="624"/>
      <c r="C34" s="205">
        <f>SUM(C19:C33)</f>
        <v>1765</v>
      </c>
      <c r="D34" s="205"/>
      <c r="E34" s="206"/>
      <c r="F34" s="206"/>
      <c r="G34" s="625">
        <f>SUBTOTAL(9,G19:H33)</f>
        <v>13302.5</v>
      </c>
      <c r="H34" s="626"/>
    </row>
    <row r="35" spans="1:8" ht="12.75">
      <c r="A35" s="632" t="s">
        <v>53</v>
      </c>
      <c r="B35" s="633"/>
      <c r="C35" s="204"/>
      <c r="D35" s="204"/>
      <c r="E35" s="631"/>
      <c r="F35" s="631"/>
      <c r="G35" s="631" t="s">
        <v>49</v>
      </c>
      <c r="H35" s="634"/>
    </row>
    <row r="36" spans="1:8" ht="12.75">
      <c r="A36" s="629"/>
      <c r="B36" s="630"/>
      <c r="C36" s="630"/>
      <c r="D36" s="630"/>
      <c r="E36" s="630"/>
      <c r="F36" s="630"/>
      <c r="G36" s="627"/>
      <c r="H36" s="628"/>
    </row>
    <row r="37" spans="1:8" ht="12.75">
      <c r="A37" s="629"/>
      <c r="B37" s="630"/>
      <c r="C37" s="630"/>
      <c r="D37" s="630"/>
      <c r="E37" s="630"/>
      <c r="F37" s="630"/>
      <c r="G37" s="627"/>
      <c r="H37" s="628"/>
    </row>
    <row r="38" spans="1:19" ht="25.5">
      <c r="A38" s="629"/>
      <c r="B38" s="630"/>
      <c r="C38" s="630"/>
      <c r="D38" s="630"/>
      <c r="E38" s="630"/>
      <c r="F38" s="630"/>
      <c r="G38" s="627"/>
      <c r="H38" s="628"/>
      <c r="S38" s="380"/>
    </row>
    <row r="39" spans="1:8" ht="12.75">
      <c r="A39" s="629"/>
      <c r="B39" s="630"/>
      <c r="C39" s="630"/>
      <c r="D39" s="630"/>
      <c r="E39" s="630"/>
      <c r="F39" s="630"/>
      <c r="G39" s="627"/>
      <c r="H39" s="628"/>
    </row>
    <row r="40" spans="1:8" ht="12.75">
      <c r="A40" s="629"/>
      <c r="B40" s="630"/>
      <c r="C40" s="630"/>
      <c r="D40" s="630"/>
      <c r="E40" s="630"/>
      <c r="F40" s="630"/>
      <c r="G40" s="627"/>
      <c r="H40" s="628"/>
    </row>
    <row r="41" spans="1:8" ht="12.75">
      <c r="A41" s="629"/>
      <c r="B41" s="630"/>
      <c r="C41" s="630"/>
      <c r="D41" s="630"/>
      <c r="E41" s="630"/>
      <c r="F41" s="630"/>
      <c r="G41" s="627"/>
      <c r="H41" s="628"/>
    </row>
    <row r="42" spans="1:8" ht="12.75">
      <c r="A42" s="700" t="s">
        <v>55</v>
      </c>
      <c r="B42" s="701"/>
      <c r="C42" s="701"/>
      <c r="D42" s="701"/>
      <c r="E42" s="701"/>
      <c r="F42" s="701"/>
      <c r="G42" s="702">
        <f>SUBTOTAL(9,G36:H41)</f>
        <v>0</v>
      </c>
      <c r="H42" s="703"/>
    </row>
    <row r="43" spans="1:8" s="188" customFormat="1" ht="18" customHeight="1" thickBot="1">
      <c r="A43" s="704" t="s">
        <v>56</v>
      </c>
      <c r="B43" s="705"/>
      <c r="C43" s="705"/>
      <c r="D43" s="705"/>
      <c r="E43" s="705"/>
      <c r="F43" s="705"/>
      <c r="G43" s="698">
        <f>SUBTOTAL(9,G19:H41)</f>
        <v>13302.5</v>
      </c>
      <c r="H43" s="699"/>
    </row>
    <row r="44" spans="1:8" ht="12.75">
      <c r="A44" s="317"/>
      <c r="B44" s="318"/>
      <c r="C44" s="319"/>
      <c r="D44" s="319"/>
      <c r="E44" s="320"/>
      <c r="F44" s="320"/>
      <c r="G44" s="321"/>
      <c r="H44" s="322"/>
    </row>
    <row r="45" spans="1:8" ht="12.75">
      <c r="A45" s="674"/>
      <c r="B45" s="675"/>
      <c r="C45" s="675"/>
      <c r="D45" s="675"/>
      <c r="E45" s="675"/>
      <c r="F45" s="675"/>
      <c r="G45" s="675"/>
      <c r="H45" s="676"/>
    </row>
    <row r="46" spans="1:13" s="43" customFormat="1" ht="12.75">
      <c r="A46" s="323"/>
      <c r="H46" s="47"/>
      <c r="M46" s="189"/>
    </row>
    <row r="47" spans="1:9" s="43" customFormat="1" ht="12.75">
      <c r="A47" s="677"/>
      <c r="B47" s="678"/>
      <c r="C47" s="678"/>
      <c r="D47" s="678"/>
      <c r="E47" s="678"/>
      <c r="F47" s="678"/>
      <c r="G47" s="678"/>
      <c r="H47" s="679"/>
      <c r="I47" s="191"/>
    </row>
    <row r="48" spans="1:9" s="43" customFormat="1" ht="12.75">
      <c r="A48" s="324"/>
      <c r="B48" s="190"/>
      <c r="C48" s="190"/>
      <c r="D48" s="190"/>
      <c r="E48" s="190"/>
      <c r="F48" s="190"/>
      <c r="G48" s="190"/>
      <c r="H48" s="325"/>
      <c r="I48" s="190"/>
    </row>
    <row r="49" spans="1:8" s="43" customFormat="1" ht="12.75">
      <c r="A49" s="326"/>
      <c r="B49" s="667"/>
      <c r="C49" s="668"/>
      <c r="D49" s="42"/>
      <c r="E49" s="185"/>
      <c r="H49" s="47"/>
    </row>
    <row r="50" spans="1:8" s="43" customFormat="1" ht="12.75">
      <c r="A50" s="327"/>
      <c r="B50" s="669"/>
      <c r="C50" s="670"/>
      <c r="D50" s="48"/>
      <c r="E50" s="192"/>
      <c r="H50" s="47"/>
    </row>
    <row r="51" spans="1:8" s="43" customFormat="1" ht="12.75">
      <c r="A51" s="323"/>
      <c r="H51" s="47"/>
    </row>
    <row r="52" spans="1:9" s="43" customFormat="1" ht="12.75" customHeight="1">
      <c r="A52" s="680"/>
      <c r="B52" s="681"/>
      <c r="C52" s="681"/>
      <c r="D52" s="681"/>
      <c r="E52" s="681"/>
      <c r="F52" s="681"/>
      <c r="G52" s="681"/>
      <c r="H52" s="682"/>
      <c r="I52" s="191"/>
    </row>
    <row r="53" spans="1:8" s="43" customFormat="1" ht="12.75">
      <c r="A53" s="326"/>
      <c r="B53" s="667"/>
      <c r="C53" s="668"/>
      <c r="D53" s="42"/>
      <c r="E53" s="185"/>
      <c r="H53" s="47"/>
    </row>
    <row r="54" spans="1:8" s="43" customFormat="1" ht="13.5" thickBot="1">
      <c r="A54" s="328"/>
      <c r="B54" s="665"/>
      <c r="C54" s="666"/>
      <c r="D54" s="329"/>
      <c r="E54" s="330"/>
      <c r="F54" s="44"/>
      <c r="G54" s="44"/>
      <c r="H54" s="49" t="s">
        <v>171</v>
      </c>
    </row>
    <row r="55" ht="12.75"/>
    <row r="56" ht="12.75"/>
  </sheetData>
  <sheetProtection password="DDEF" sheet="1"/>
  <mergeCells count="116">
    <mergeCell ref="E32:F32"/>
    <mergeCell ref="G41:H41"/>
    <mergeCell ref="G42:H42"/>
    <mergeCell ref="A43:F43"/>
    <mergeCell ref="A40:F40"/>
    <mergeCell ref="E33:F33"/>
    <mergeCell ref="G32:H32"/>
    <mergeCell ref="G33:H33"/>
    <mergeCell ref="G37:H37"/>
    <mergeCell ref="A37:F37"/>
    <mergeCell ref="G43:H43"/>
    <mergeCell ref="G39:H39"/>
    <mergeCell ref="G40:H40"/>
    <mergeCell ref="A39:F39"/>
    <mergeCell ref="G38:H38"/>
    <mergeCell ref="A41:F41"/>
    <mergeCell ref="A42:F42"/>
    <mergeCell ref="A38:F38"/>
    <mergeCell ref="B53:C53"/>
    <mergeCell ref="G6:H6"/>
    <mergeCell ref="B5:F5"/>
    <mergeCell ref="E6:F6"/>
    <mergeCell ref="G18:H18"/>
    <mergeCell ref="E7:F7"/>
    <mergeCell ref="E8:F8"/>
    <mergeCell ref="G8:H8"/>
    <mergeCell ref="G9:H9"/>
    <mergeCell ref="G11:H11"/>
    <mergeCell ref="C6:D6"/>
    <mergeCell ref="G7:H7"/>
    <mergeCell ref="G3:H3"/>
    <mergeCell ref="B54:C54"/>
    <mergeCell ref="B49:C49"/>
    <mergeCell ref="B50:C50"/>
    <mergeCell ref="A14:H14"/>
    <mergeCell ref="A45:H45"/>
    <mergeCell ref="A47:H47"/>
    <mergeCell ref="A52:H52"/>
    <mergeCell ref="G20:H20"/>
    <mergeCell ref="G21:H21"/>
    <mergeCell ref="B1:E1"/>
    <mergeCell ref="G10:H10"/>
    <mergeCell ref="B2:E2"/>
    <mergeCell ref="B3:E3"/>
    <mergeCell ref="G1:H1"/>
    <mergeCell ref="G2:H2"/>
    <mergeCell ref="C7:D7"/>
    <mergeCell ref="B4:F4"/>
    <mergeCell ref="A23:B23"/>
    <mergeCell ref="A24:B24"/>
    <mergeCell ref="E20:F20"/>
    <mergeCell ref="A20:B20"/>
    <mergeCell ref="E24:F24"/>
    <mergeCell ref="E23:F23"/>
    <mergeCell ref="E10:F10"/>
    <mergeCell ref="E11:F11"/>
    <mergeCell ref="E18:F18"/>
    <mergeCell ref="A19:B19"/>
    <mergeCell ref="E19:F19"/>
    <mergeCell ref="E13:F13"/>
    <mergeCell ref="B15:H15"/>
    <mergeCell ref="G19:H19"/>
    <mergeCell ref="A18:B18"/>
    <mergeCell ref="E12:F12"/>
    <mergeCell ref="A25:B25"/>
    <mergeCell ref="E21:F21"/>
    <mergeCell ref="A21:B21"/>
    <mergeCell ref="C19:D19"/>
    <mergeCell ref="C20:D20"/>
    <mergeCell ref="C21:D21"/>
    <mergeCell ref="C22:D22"/>
    <mergeCell ref="A22:B22"/>
    <mergeCell ref="C23:D23"/>
    <mergeCell ref="C24:D24"/>
    <mergeCell ref="G22:H22"/>
    <mergeCell ref="E26:F26"/>
    <mergeCell ref="G25:H25"/>
    <mergeCell ref="E22:F22"/>
    <mergeCell ref="G23:H23"/>
    <mergeCell ref="G24:H24"/>
    <mergeCell ref="G26:H26"/>
    <mergeCell ref="E25:F25"/>
    <mergeCell ref="C32:D32"/>
    <mergeCell ref="C31:D31"/>
    <mergeCell ref="A34:B34"/>
    <mergeCell ref="G34:H34"/>
    <mergeCell ref="G36:H36"/>
    <mergeCell ref="A36:F36"/>
    <mergeCell ref="E35:F35"/>
    <mergeCell ref="A35:B35"/>
    <mergeCell ref="G35:H35"/>
    <mergeCell ref="E31:F31"/>
    <mergeCell ref="A26:B26"/>
    <mergeCell ref="A27:B27"/>
    <mergeCell ref="A28:B28"/>
    <mergeCell ref="C33:D33"/>
    <mergeCell ref="A33:B33"/>
    <mergeCell ref="A30:B30"/>
    <mergeCell ref="A29:B29"/>
    <mergeCell ref="A31:B31"/>
    <mergeCell ref="A32:B32"/>
    <mergeCell ref="C30:D30"/>
    <mergeCell ref="C25:D25"/>
    <mergeCell ref="G29:H29"/>
    <mergeCell ref="C26:D26"/>
    <mergeCell ref="C27:D27"/>
    <mergeCell ref="C28:D28"/>
    <mergeCell ref="C29:D29"/>
    <mergeCell ref="G30:H30"/>
    <mergeCell ref="G31:H31"/>
    <mergeCell ref="E29:F29"/>
    <mergeCell ref="G28:H28"/>
    <mergeCell ref="E28:F28"/>
    <mergeCell ref="G27:H27"/>
    <mergeCell ref="E27:F27"/>
    <mergeCell ref="E30:F30"/>
  </mergeCells>
  <conditionalFormatting sqref="G9:H9">
    <cfRule type="cellIs" priority="1" dxfId="4" operator="lessThan" stopIfTrue="1">
      <formula>G11</formula>
    </cfRule>
  </conditionalFormatting>
  <printOptions/>
  <pageMargins left="0.7874015748031497" right="0.5905511811023623" top="1.73" bottom="0.5905511811023623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60"/>
  <sheetViews>
    <sheetView showZeros="0"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1" max="1" width="1.57421875" style="31" customWidth="1"/>
    <col min="2" max="2" width="4.28125" style="50" customWidth="1"/>
    <col min="3" max="3" width="10.28125" style="51" customWidth="1"/>
    <col min="4" max="4" width="6.421875" style="58" customWidth="1"/>
    <col min="5" max="5" width="80.00390625" style="31" customWidth="1"/>
    <col min="6" max="6" width="11.00390625" style="59" customWidth="1"/>
    <col min="7" max="7" width="7.28125" style="31" customWidth="1"/>
    <col min="8" max="8" width="10.00390625" style="60" customWidth="1"/>
    <col min="9" max="9" width="12.00390625" style="31" customWidth="1"/>
    <col min="10" max="10" width="14.57421875" style="31" customWidth="1"/>
    <col min="11" max="11" width="10.7109375" style="51" customWidth="1"/>
    <col min="12" max="12" width="0" style="31" hidden="1" customWidth="1"/>
    <col min="13" max="13" width="14.28125" style="57" hidden="1" customWidth="1"/>
    <col min="14" max="14" width="0" style="57" hidden="1" customWidth="1"/>
    <col min="15" max="15" width="12.421875" style="31" customWidth="1"/>
    <col min="16" max="16" width="15.8515625" style="31" customWidth="1"/>
    <col min="17" max="21" width="0" style="31" hidden="1" customWidth="1"/>
    <col min="22" max="22" width="11.00390625" style="31" hidden="1" customWidth="1"/>
    <col min="23" max="26" width="0" style="31" hidden="1" customWidth="1"/>
    <col min="27" max="16384" width="9.140625" style="31" customWidth="1"/>
  </cols>
  <sheetData>
    <row r="1" ht="12.75"/>
    <row r="2" ht="13.5" thickBot="1"/>
    <row r="3" spans="2:16" ht="25.5">
      <c r="B3" s="707" t="s">
        <v>229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9"/>
    </row>
    <row r="4" spans="2:16" ht="16.5" customHeight="1">
      <c r="B4" s="61"/>
      <c r="C4" s="62"/>
      <c r="D4" s="63"/>
      <c r="E4" s="62"/>
      <c r="F4" s="64"/>
      <c r="G4" s="65"/>
      <c r="H4" s="742"/>
      <c r="I4" s="742"/>
      <c r="J4" s="750" t="s">
        <v>233</v>
      </c>
      <c r="K4" s="751"/>
      <c r="L4" s="751"/>
      <c r="M4" s="751"/>
      <c r="N4" s="751"/>
      <c r="O4" s="751"/>
      <c r="P4" s="752"/>
    </row>
    <row r="5" spans="2:16" ht="16.5" customHeight="1">
      <c r="B5" s="61"/>
      <c r="C5" s="62"/>
      <c r="D5" s="63"/>
      <c r="E5" s="62"/>
      <c r="F5" s="64"/>
      <c r="G5" s="65"/>
      <c r="H5" s="742"/>
      <c r="I5" s="742"/>
      <c r="J5" s="747" t="s">
        <v>234</v>
      </c>
      <c r="K5" s="748"/>
      <c r="L5" s="748"/>
      <c r="M5" s="748"/>
      <c r="N5" s="748"/>
      <c r="O5" s="748"/>
      <c r="P5" s="749"/>
    </row>
    <row r="6" spans="2:16" ht="17.25" thickBot="1">
      <c r="B6" s="66"/>
      <c r="C6" s="67"/>
      <c r="D6" s="68"/>
      <c r="E6" s="69"/>
      <c r="F6" s="70"/>
      <c r="G6" s="69"/>
      <c r="H6" s="71"/>
      <c r="I6" s="72"/>
      <c r="J6" s="744" t="s">
        <v>235</v>
      </c>
      <c r="K6" s="745"/>
      <c r="L6" s="745"/>
      <c r="M6" s="745"/>
      <c r="N6" s="745"/>
      <c r="O6" s="745"/>
      <c r="P6" s="746"/>
    </row>
    <row r="7" spans="2:16" ht="24" thickBot="1">
      <c r="B7" s="66"/>
      <c r="C7" s="75"/>
      <c r="D7" s="731" t="s">
        <v>0</v>
      </c>
      <c r="E7" s="731"/>
      <c r="F7" s="731"/>
      <c r="G7" s="732"/>
      <c r="H7" s="476" t="s">
        <v>7</v>
      </c>
      <c r="I7" s="735" t="s">
        <v>65</v>
      </c>
      <c r="J7" s="736"/>
      <c r="K7" s="737"/>
      <c r="L7" s="73"/>
      <c r="M7" s="74"/>
      <c r="N7" s="74"/>
      <c r="O7" s="733" t="s">
        <v>64</v>
      </c>
      <c r="P7" s="734"/>
    </row>
    <row r="8" spans="2:16" ht="16.5" thickBot="1">
      <c r="B8" s="66"/>
      <c r="C8" s="75"/>
      <c r="D8" s="738" t="s">
        <v>222</v>
      </c>
      <c r="E8" s="739"/>
      <c r="F8" s="78"/>
      <c r="G8" s="79"/>
      <c r="H8" s="477">
        <v>42458</v>
      </c>
      <c r="I8" s="80"/>
      <c r="J8" s="81"/>
      <c r="K8" s="82"/>
      <c r="L8" s="44"/>
      <c r="M8" s="45"/>
      <c r="N8" s="45"/>
      <c r="O8" s="548">
        <v>0</v>
      </c>
      <c r="P8" s="600">
        <v>0.21</v>
      </c>
    </row>
    <row r="9" spans="2:16" ht="16.5" customHeight="1" thickBot="1">
      <c r="B9" s="83"/>
      <c r="C9" s="82"/>
      <c r="D9" s="738" t="s">
        <v>223</v>
      </c>
      <c r="E9" s="739"/>
      <c r="F9" s="216"/>
      <c r="G9" s="217"/>
      <c r="H9" s="84"/>
      <c r="I9" s="85"/>
      <c r="J9" s="81"/>
      <c r="K9" s="86"/>
      <c r="L9" s="87"/>
      <c r="M9" s="88"/>
      <c r="N9" s="88"/>
      <c r="O9" s="85"/>
      <c r="P9" s="77"/>
    </row>
    <row r="10" spans="2:16" ht="16.5" thickBot="1">
      <c r="B10" s="89"/>
      <c r="C10" s="90"/>
      <c r="D10" s="714" t="s">
        <v>231</v>
      </c>
      <c r="E10" s="714"/>
      <c r="F10" s="714"/>
      <c r="G10" s="714"/>
      <c r="H10" s="91"/>
      <c r="I10" s="92"/>
      <c r="J10" s="93"/>
      <c r="K10" s="94"/>
      <c r="L10" s="95"/>
      <c r="M10" s="96"/>
      <c r="N10" s="96"/>
      <c r="O10" s="92"/>
      <c r="P10" s="93"/>
    </row>
    <row r="11" spans="2:16" ht="16.5" thickBot="1">
      <c r="B11" s="740" t="s">
        <v>71</v>
      </c>
      <c r="C11" s="741"/>
      <c r="D11" s="214" t="s">
        <v>1</v>
      </c>
      <c r="E11" s="97" t="s">
        <v>2</v>
      </c>
      <c r="F11" s="98" t="s">
        <v>3</v>
      </c>
      <c r="G11" s="97" t="s">
        <v>4</v>
      </c>
      <c r="H11" s="99" t="s">
        <v>60</v>
      </c>
      <c r="I11" s="76" t="s">
        <v>61</v>
      </c>
      <c r="J11" s="100" t="s">
        <v>5</v>
      </c>
      <c r="K11" s="101" t="s">
        <v>40</v>
      </c>
      <c r="L11" s="73"/>
      <c r="M11" s="102" t="s">
        <v>42</v>
      </c>
      <c r="N11" s="74"/>
      <c r="O11" s="76" t="s">
        <v>61</v>
      </c>
      <c r="P11" s="100" t="s">
        <v>5</v>
      </c>
    </row>
    <row r="12" spans="2:16" ht="6.75" customHeight="1" thickBot="1">
      <c r="B12" s="103"/>
      <c r="C12" s="86"/>
      <c r="D12" s="104"/>
      <c r="E12" s="105"/>
      <c r="F12" s="106"/>
      <c r="G12" s="105"/>
      <c r="H12" s="332"/>
      <c r="I12" s="76"/>
      <c r="J12" s="347"/>
      <c r="K12" s="90"/>
      <c r="L12" s="87"/>
      <c r="M12" s="107" t="s">
        <v>43</v>
      </c>
      <c r="N12" s="88"/>
      <c r="O12" s="4"/>
      <c r="P12" s="348"/>
    </row>
    <row r="13" spans="2:16" ht="15.75">
      <c r="B13" s="108"/>
      <c r="C13" s="109"/>
      <c r="D13" s="208">
        <v>1</v>
      </c>
      <c r="E13" s="471" t="s">
        <v>142</v>
      </c>
      <c r="F13" s="23"/>
      <c r="G13" s="409"/>
      <c r="H13" s="472"/>
      <c r="I13" s="473"/>
      <c r="J13" s="213"/>
      <c r="K13" s="474"/>
      <c r="L13" s="73"/>
      <c r="M13" s="74"/>
      <c r="N13" s="74"/>
      <c r="O13" s="410"/>
      <c r="P13" s="213"/>
    </row>
    <row r="14" spans="2:16" ht="15.75">
      <c r="B14" s="66" t="s">
        <v>163</v>
      </c>
      <c r="C14" s="568" t="s">
        <v>162</v>
      </c>
      <c r="D14" s="215" t="s">
        <v>195</v>
      </c>
      <c r="E14" s="569" t="s">
        <v>191</v>
      </c>
      <c r="F14" s="535">
        <v>3</v>
      </c>
      <c r="G14" s="536" t="s">
        <v>6</v>
      </c>
      <c r="H14" s="549">
        <v>320.2</v>
      </c>
      <c r="I14" s="532">
        <f>F14*H14</f>
        <v>960.5999999999999</v>
      </c>
      <c r="J14" s="570"/>
      <c r="K14" s="522">
        <v>0.0009</v>
      </c>
      <c r="L14" s="571"/>
      <c r="M14" s="572">
        <v>178.57</v>
      </c>
      <c r="N14" s="572"/>
      <c r="O14" s="573">
        <f>I14*(1+O$8%+21%)</f>
        <v>1162.3259999999998</v>
      </c>
      <c r="P14" s="574"/>
    </row>
    <row r="15" spans="2:16" ht="16.5" thickBot="1">
      <c r="B15" s="575"/>
      <c r="C15" s="576"/>
      <c r="D15" s="577"/>
      <c r="E15" s="25" t="s">
        <v>232</v>
      </c>
      <c r="F15" s="578"/>
      <c r="G15" s="25"/>
      <c r="H15" s="579"/>
      <c r="I15" s="4"/>
      <c r="J15" s="433"/>
      <c r="K15" s="428"/>
      <c r="L15" s="443"/>
      <c r="M15" s="116"/>
      <c r="N15" s="116"/>
      <c r="O15" s="3"/>
      <c r="P15" s="602">
        <f>O14</f>
        <v>1162.3259999999998</v>
      </c>
    </row>
    <row r="16" spans="2:16" ht="9" customHeight="1" thickBot="1">
      <c r="B16" s="89"/>
      <c r="C16" s="90"/>
      <c r="D16" s="437"/>
      <c r="E16" s="438"/>
      <c r="F16" s="439"/>
      <c r="G16" s="440"/>
      <c r="H16" s="550"/>
      <c r="I16" s="434"/>
      <c r="J16" s="429"/>
      <c r="K16" s="432"/>
      <c r="L16" s="441"/>
      <c r="M16" s="430"/>
      <c r="N16" s="430"/>
      <c r="O16" s="434"/>
      <c r="P16" s="431"/>
    </row>
    <row r="17" spans="2:16" ht="15.75">
      <c r="B17" s="108"/>
      <c r="C17" s="333"/>
      <c r="D17" s="435">
        <v>2</v>
      </c>
      <c r="E17" s="436" t="s">
        <v>213</v>
      </c>
      <c r="F17" s="408"/>
      <c r="G17" s="22"/>
      <c r="H17" s="551"/>
      <c r="I17" s="410"/>
      <c r="J17" s="212"/>
      <c r="K17" s="427"/>
      <c r="L17" s="73"/>
      <c r="M17" s="74"/>
      <c r="N17" s="74"/>
      <c r="O17" s="23"/>
      <c r="P17" s="212"/>
    </row>
    <row r="18" spans="2:23" ht="15.75">
      <c r="B18" s="402" t="s">
        <v>163</v>
      </c>
      <c r="C18" s="110" t="s">
        <v>214</v>
      </c>
      <c r="D18" s="210" t="s">
        <v>196</v>
      </c>
      <c r="E18" s="421" t="s">
        <v>215</v>
      </c>
      <c r="F18" s="478">
        <v>882</v>
      </c>
      <c r="G18" s="537" t="s">
        <v>224</v>
      </c>
      <c r="H18" s="552">
        <v>3.18</v>
      </c>
      <c r="I18" s="482">
        <f aca="true" t="shared" si="0" ref="I18:I26">F18*H18</f>
        <v>2804.76</v>
      </c>
      <c r="J18" s="483"/>
      <c r="K18" s="484">
        <v>0.0051</v>
      </c>
      <c r="L18" s="485"/>
      <c r="M18" s="486">
        <v>178.57</v>
      </c>
      <c r="N18" s="486"/>
      <c r="O18" s="482">
        <f aca="true" t="shared" si="1" ref="O18:O25">I18*(1+O$8%+21%)</f>
        <v>3393.7596000000003</v>
      </c>
      <c r="P18" s="460"/>
      <c r="S18" s="185"/>
      <c r="T18" s="185"/>
      <c r="U18" s="724" t="s">
        <v>149</v>
      </c>
      <c r="V18" s="725"/>
      <c r="W18" s="726"/>
    </row>
    <row r="19" spans="2:23" s="396" customFormat="1" ht="17.25" customHeight="1">
      <c r="B19" s="461"/>
      <c r="C19" s="582">
        <v>72961</v>
      </c>
      <c r="D19" s="462" t="s">
        <v>197</v>
      </c>
      <c r="E19" s="422" t="s">
        <v>216</v>
      </c>
      <c r="F19" s="479">
        <v>2205</v>
      </c>
      <c r="G19" s="538" t="s">
        <v>6</v>
      </c>
      <c r="H19" s="553">
        <v>1.21</v>
      </c>
      <c r="I19" s="487">
        <f>F19*H19</f>
        <v>2668.0499999999997</v>
      </c>
      <c r="J19" s="488"/>
      <c r="K19" s="484">
        <v>0.0034</v>
      </c>
      <c r="L19" s="489"/>
      <c r="M19" s="490"/>
      <c r="N19" s="490"/>
      <c r="O19" s="482">
        <f t="shared" si="1"/>
        <v>3228.3405</v>
      </c>
      <c r="P19" s="463"/>
      <c r="S19" s="397"/>
      <c r="T19" s="376"/>
      <c r="U19" s="398" t="s">
        <v>147</v>
      </c>
      <c r="V19" s="399" t="s">
        <v>148</v>
      </c>
      <c r="W19" s="400">
        <f>V41</f>
        <v>0</v>
      </c>
    </row>
    <row r="20" spans="2:23" ht="15">
      <c r="B20" s="313"/>
      <c r="C20" s="583">
        <v>83344</v>
      </c>
      <c r="D20" s="210" t="s">
        <v>198</v>
      </c>
      <c r="E20" s="423" t="s">
        <v>192</v>
      </c>
      <c r="F20" s="479">
        <v>882</v>
      </c>
      <c r="G20" s="539" t="s">
        <v>224</v>
      </c>
      <c r="H20" s="554">
        <v>1.01</v>
      </c>
      <c r="I20" s="482">
        <f t="shared" si="0"/>
        <v>890.82</v>
      </c>
      <c r="J20" s="491"/>
      <c r="K20" s="484">
        <v>0.0027</v>
      </c>
      <c r="L20" s="492"/>
      <c r="M20" s="486"/>
      <c r="N20" s="486"/>
      <c r="O20" s="482">
        <f t="shared" si="1"/>
        <v>1077.8922</v>
      </c>
      <c r="P20" s="464"/>
      <c r="S20" s="353"/>
      <c r="T20" s="351"/>
      <c r="U20" s="354" t="s">
        <v>147</v>
      </c>
      <c r="V20" s="355" t="s">
        <v>148</v>
      </c>
      <c r="W20" s="365" t="e">
        <f>#REF!</f>
        <v>#REF!</v>
      </c>
    </row>
    <row r="21" spans="2:23" ht="15">
      <c r="B21" s="313"/>
      <c r="C21" s="583">
        <v>73711</v>
      </c>
      <c r="D21" s="210" t="s">
        <v>199</v>
      </c>
      <c r="E21" s="423" t="s">
        <v>193</v>
      </c>
      <c r="F21" s="479">
        <v>330.75</v>
      </c>
      <c r="G21" s="539" t="s">
        <v>224</v>
      </c>
      <c r="H21" s="554">
        <v>84.04</v>
      </c>
      <c r="I21" s="482">
        <f>F21*H21</f>
        <v>27796.230000000003</v>
      </c>
      <c r="J21" s="491"/>
      <c r="K21" s="484">
        <v>0.0263</v>
      </c>
      <c r="L21" s="492"/>
      <c r="M21" s="486"/>
      <c r="N21" s="486"/>
      <c r="O21" s="482">
        <f t="shared" si="1"/>
        <v>33633.4383</v>
      </c>
      <c r="P21" s="464"/>
      <c r="S21" s="353"/>
      <c r="T21" s="351"/>
      <c r="U21" s="369"/>
      <c r="V21" s="370"/>
      <c r="W21" s="371"/>
    </row>
    <row r="22" spans="2:23" s="375" customFormat="1" ht="21.75" customHeight="1">
      <c r="B22" s="465"/>
      <c r="C22" s="584">
        <v>72881</v>
      </c>
      <c r="D22" s="210" t="s">
        <v>200</v>
      </c>
      <c r="E22" s="466" t="s">
        <v>217</v>
      </c>
      <c r="F22" s="479">
        <v>3858.75</v>
      </c>
      <c r="G22" s="538" t="s">
        <v>174</v>
      </c>
      <c r="H22" s="555">
        <v>1.17</v>
      </c>
      <c r="I22" s="479">
        <f>F22*H22</f>
        <v>4514.737499999999</v>
      </c>
      <c r="J22" s="493"/>
      <c r="K22" s="484">
        <v>0.0046</v>
      </c>
      <c r="L22" s="494"/>
      <c r="M22" s="495"/>
      <c r="N22" s="495"/>
      <c r="O22" s="482">
        <f t="shared" si="1"/>
        <v>5462.832374999999</v>
      </c>
      <c r="P22" s="467"/>
      <c r="S22" s="376"/>
      <c r="T22" s="376"/>
      <c r="U22" s="377" t="s">
        <v>145</v>
      </c>
      <c r="V22" s="378" t="s">
        <v>146</v>
      </c>
      <c r="W22" s="379" t="e">
        <f>#REF!</f>
        <v>#REF!</v>
      </c>
    </row>
    <row r="23" spans="2:23" ht="15" customHeight="1">
      <c r="B23" s="313"/>
      <c r="C23" s="583">
        <v>72945</v>
      </c>
      <c r="D23" s="210" t="s">
        <v>201</v>
      </c>
      <c r="E23" s="424" t="s">
        <v>194</v>
      </c>
      <c r="F23" s="479">
        <v>2205</v>
      </c>
      <c r="G23" s="539" t="s">
        <v>6</v>
      </c>
      <c r="H23" s="556">
        <v>4.41</v>
      </c>
      <c r="I23" s="482">
        <f>F23*H23</f>
        <v>9724.050000000001</v>
      </c>
      <c r="J23" s="491"/>
      <c r="K23" s="484">
        <v>0.0078</v>
      </c>
      <c r="L23" s="492"/>
      <c r="M23" s="486"/>
      <c r="N23" s="486"/>
      <c r="O23" s="482">
        <f t="shared" si="1"/>
        <v>11766.1005</v>
      </c>
      <c r="P23" s="464"/>
      <c r="S23" s="353"/>
      <c r="T23" s="353"/>
      <c r="U23" s="729" t="s">
        <v>161</v>
      </c>
      <c r="V23" s="730"/>
      <c r="W23" s="367" t="e">
        <f>W22/W20</f>
        <v>#REF!</v>
      </c>
    </row>
    <row r="24" spans="2:23" ht="15.75">
      <c r="B24" s="313"/>
      <c r="C24" s="583">
        <v>72943</v>
      </c>
      <c r="D24" s="210" t="s">
        <v>202</v>
      </c>
      <c r="E24" s="424" t="s">
        <v>218</v>
      </c>
      <c r="F24" s="479">
        <v>2205</v>
      </c>
      <c r="G24" s="539" t="s">
        <v>6</v>
      </c>
      <c r="H24" s="554">
        <v>1.34</v>
      </c>
      <c r="I24" s="482">
        <f t="shared" si="0"/>
        <v>2954.7000000000003</v>
      </c>
      <c r="J24" s="496"/>
      <c r="K24" s="484">
        <v>0.003</v>
      </c>
      <c r="L24" s="492"/>
      <c r="M24" s="486">
        <v>194.88</v>
      </c>
      <c r="N24" s="486"/>
      <c r="O24" s="482">
        <f t="shared" si="1"/>
        <v>3575.1870000000004</v>
      </c>
      <c r="P24" s="468"/>
      <c r="S24" s="353"/>
      <c r="T24" s="353"/>
      <c r="U24" s="727" t="s">
        <v>160</v>
      </c>
      <c r="V24" s="728"/>
      <c r="W24" s="366" t="e">
        <f>W23*W22</f>
        <v>#REF!</v>
      </c>
    </row>
    <row r="25" spans="2:23" ht="15.75">
      <c r="B25" s="313"/>
      <c r="C25" s="583">
        <v>72943</v>
      </c>
      <c r="D25" s="210" t="s">
        <v>203</v>
      </c>
      <c r="E25" s="424" t="s">
        <v>209</v>
      </c>
      <c r="F25" s="479">
        <v>158.75</v>
      </c>
      <c r="G25" s="539" t="s">
        <v>228</v>
      </c>
      <c r="H25" s="554">
        <v>205.62</v>
      </c>
      <c r="I25" s="482">
        <f>F25*H25</f>
        <v>32642.175</v>
      </c>
      <c r="J25" s="497"/>
      <c r="K25" s="484">
        <v>0.0324</v>
      </c>
      <c r="L25" s="492"/>
      <c r="M25" s="486"/>
      <c r="N25" s="486"/>
      <c r="O25" s="482">
        <f t="shared" si="1"/>
        <v>39497.031749999995</v>
      </c>
      <c r="P25" s="456"/>
      <c r="S25" s="353"/>
      <c r="T25" s="353"/>
      <c r="U25" s="368"/>
      <c r="V25" s="368"/>
      <c r="W25" s="372"/>
    </row>
    <row r="26" spans="2:17" ht="16.5" thickBot="1">
      <c r="B26" s="469"/>
      <c r="C26" s="470"/>
      <c r="D26" s="211"/>
      <c r="E26" s="565" t="s">
        <v>232</v>
      </c>
      <c r="F26" s="387"/>
      <c r="G26" s="540"/>
      <c r="H26" s="557"/>
      <c r="I26" s="498">
        <f t="shared" si="0"/>
        <v>0</v>
      </c>
      <c r="J26" s="499"/>
      <c r="K26" s="500"/>
      <c r="L26" s="501"/>
      <c r="M26" s="502">
        <v>194.88</v>
      </c>
      <c r="N26" s="502"/>
      <c r="O26" s="498">
        <f aca="true" t="shared" si="2" ref="O26:O35">I26*(1+O$8%)</f>
        <v>0</v>
      </c>
      <c r="P26" s="601">
        <f>SUM(O18:O25)</f>
        <v>101634.58222499999</v>
      </c>
      <c r="Q26" s="349" t="s">
        <v>150</v>
      </c>
    </row>
    <row r="27" spans="2:17" ht="9" customHeight="1" thickBot="1">
      <c r="B27" s="405"/>
      <c r="C27" s="403"/>
      <c r="D27" s="20"/>
      <c r="E27" s="21"/>
      <c r="F27" s="404"/>
      <c r="G27" s="541"/>
      <c r="H27" s="558"/>
      <c r="I27" s="503"/>
      <c r="J27" s="504"/>
      <c r="K27" s="505"/>
      <c r="L27" s="506"/>
      <c r="M27" s="507"/>
      <c r="N27" s="507"/>
      <c r="O27" s="503">
        <f t="shared" si="2"/>
        <v>0</v>
      </c>
      <c r="P27" s="431"/>
      <c r="Q27" s="349"/>
    </row>
    <row r="28" spans="2:17" ht="15.75">
      <c r="B28" s="450"/>
      <c r="C28" s="451"/>
      <c r="D28" s="208">
        <v>3</v>
      </c>
      <c r="E28" s="209" t="s">
        <v>204</v>
      </c>
      <c r="F28" s="452"/>
      <c r="G28" s="542"/>
      <c r="H28" s="559"/>
      <c r="I28" s="508"/>
      <c r="J28" s="509"/>
      <c r="K28" s="510"/>
      <c r="L28" s="511"/>
      <c r="M28" s="512"/>
      <c r="N28" s="512"/>
      <c r="O28" s="508">
        <f t="shared" si="2"/>
        <v>0</v>
      </c>
      <c r="P28" s="453"/>
      <c r="Q28" s="349"/>
    </row>
    <row r="29" spans="2:17" ht="15.75">
      <c r="B29" s="454" t="s">
        <v>163</v>
      </c>
      <c r="C29" s="455" t="s">
        <v>205</v>
      </c>
      <c r="D29" s="210" t="s">
        <v>8</v>
      </c>
      <c r="E29" s="421" t="s">
        <v>219</v>
      </c>
      <c r="F29" s="479">
        <v>38247</v>
      </c>
      <c r="G29" s="537" t="s">
        <v>6</v>
      </c>
      <c r="H29" s="554">
        <v>1.63</v>
      </c>
      <c r="I29" s="482">
        <f>F29*H29</f>
        <v>62342.60999999999</v>
      </c>
      <c r="J29" s="513"/>
      <c r="K29" s="484">
        <v>0.0573</v>
      </c>
      <c r="L29" s="492"/>
      <c r="M29" s="486"/>
      <c r="N29" s="486"/>
      <c r="O29" s="482">
        <f>I29*(1+O$8%+21%)</f>
        <v>75434.5581</v>
      </c>
      <c r="P29" s="456"/>
      <c r="Q29" s="349"/>
    </row>
    <row r="30" spans="2:17" ht="15.75">
      <c r="B30" s="454"/>
      <c r="C30" s="585" t="s">
        <v>206</v>
      </c>
      <c r="D30" s="210" t="s">
        <v>38</v>
      </c>
      <c r="E30" s="421" t="s">
        <v>217</v>
      </c>
      <c r="F30" s="479">
        <v>66932.25</v>
      </c>
      <c r="G30" s="537" t="s">
        <v>174</v>
      </c>
      <c r="H30" s="554">
        <v>1.17</v>
      </c>
      <c r="I30" s="482">
        <f>F30*H30</f>
        <v>78310.7325</v>
      </c>
      <c r="J30" s="514"/>
      <c r="K30" s="484">
        <v>0.1012</v>
      </c>
      <c r="L30" s="492"/>
      <c r="M30" s="486"/>
      <c r="N30" s="486"/>
      <c r="O30" s="482">
        <f>I30*(1+O$8%+21%)</f>
        <v>94755.98632499999</v>
      </c>
      <c r="P30" s="456"/>
      <c r="Q30" s="349"/>
    </row>
    <row r="31" spans="2:17" ht="15.75">
      <c r="B31" s="457"/>
      <c r="C31" s="585" t="s">
        <v>220</v>
      </c>
      <c r="D31" s="210" t="s">
        <v>39</v>
      </c>
      <c r="E31" s="421" t="s">
        <v>218</v>
      </c>
      <c r="F31" s="479">
        <v>38247</v>
      </c>
      <c r="G31" s="537" t="s">
        <v>6</v>
      </c>
      <c r="H31" s="554">
        <v>1.34</v>
      </c>
      <c r="I31" s="482">
        <f>F31*H31</f>
        <v>51250.98</v>
      </c>
      <c r="J31" s="513"/>
      <c r="K31" s="484">
        <v>0.0605</v>
      </c>
      <c r="L31" s="492"/>
      <c r="M31" s="486"/>
      <c r="N31" s="486"/>
      <c r="O31" s="482">
        <f>I31*(1+O$8%+21%)</f>
        <v>62013.6858</v>
      </c>
      <c r="P31" s="456"/>
      <c r="Q31" s="349"/>
    </row>
    <row r="32" spans="2:17" ht="15.75">
      <c r="B32" s="457"/>
      <c r="C32" s="585" t="s">
        <v>208</v>
      </c>
      <c r="D32" s="210" t="s">
        <v>207</v>
      </c>
      <c r="E32" s="421" t="s">
        <v>209</v>
      </c>
      <c r="F32" s="479">
        <v>2753.78</v>
      </c>
      <c r="G32" s="537" t="s">
        <v>228</v>
      </c>
      <c r="H32" s="554">
        <v>205.62</v>
      </c>
      <c r="I32" s="482">
        <f>F32*H32</f>
        <v>566232.2436</v>
      </c>
      <c r="J32" s="513"/>
      <c r="K32" s="484">
        <v>0.5945</v>
      </c>
      <c r="L32" s="492"/>
      <c r="M32" s="486"/>
      <c r="N32" s="486"/>
      <c r="O32" s="482">
        <f>I32*(1+O$8%+21%)</f>
        <v>685141.014756</v>
      </c>
      <c r="P32" s="456"/>
      <c r="Q32" s="349"/>
    </row>
    <row r="33" spans="2:16" ht="16.5" thickBot="1">
      <c r="B33" s="458"/>
      <c r="C33" s="459"/>
      <c r="D33" s="211"/>
      <c r="E33" s="27" t="s">
        <v>232</v>
      </c>
      <c r="F33" s="4"/>
      <c r="G33" s="543"/>
      <c r="H33" s="557"/>
      <c r="I33" s="498">
        <f>F33*H33</f>
        <v>0</v>
      </c>
      <c r="J33" s="515"/>
      <c r="K33" s="500"/>
      <c r="L33" s="501"/>
      <c r="M33" s="502"/>
      <c r="N33" s="502"/>
      <c r="O33" s="498">
        <f t="shared" si="2"/>
        <v>0</v>
      </c>
      <c r="P33" s="601">
        <f>SUM(O29:O32)</f>
        <v>917345.244981</v>
      </c>
    </row>
    <row r="34" spans="2:16" ht="9" customHeight="1" thickBot="1">
      <c r="B34" s="407"/>
      <c r="C34" s="75"/>
      <c r="D34" s="437"/>
      <c r="E34" s="438"/>
      <c r="F34" s="434"/>
      <c r="G34" s="544"/>
      <c r="H34" s="560"/>
      <c r="I34" s="503"/>
      <c r="J34" s="516"/>
      <c r="K34" s="505"/>
      <c r="L34" s="506"/>
      <c r="M34" s="507"/>
      <c r="N34" s="507"/>
      <c r="O34" s="503"/>
      <c r="P34" s="445"/>
    </row>
    <row r="35" spans="2:24" s="43" customFormat="1" ht="15.75">
      <c r="B35" s="108"/>
      <c r="C35" s="109"/>
      <c r="D35" s="444">
        <v>4</v>
      </c>
      <c r="E35" s="2" t="s">
        <v>210</v>
      </c>
      <c r="F35" s="114"/>
      <c r="G35" s="545"/>
      <c r="H35" s="561"/>
      <c r="I35" s="517"/>
      <c r="J35" s="518"/>
      <c r="K35" s="519"/>
      <c r="L35" s="520"/>
      <c r="M35" s="521"/>
      <c r="N35" s="521"/>
      <c r="O35" s="517">
        <f t="shared" si="2"/>
        <v>0</v>
      </c>
      <c r="P35" s="28"/>
      <c r="U35" s="721" t="s">
        <v>148</v>
      </c>
      <c r="V35" s="722"/>
      <c r="W35" s="721" t="s">
        <v>151</v>
      </c>
      <c r="X35" s="723"/>
    </row>
    <row r="36" spans="2:26" s="43" customFormat="1" ht="15.75">
      <c r="B36" s="66" t="s">
        <v>163</v>
      </c>
      <c r="C36" s="586">
        <v>72947</v>
      </c>
      <c r="D36" s="210" t="s">
        <v>144</v>
      </c>
      <c r="E36" s="425" t="s">
        <v>164</v>
      </c>
      <c r="F36" s="480">
        <v>2481.6</v>
      </c>
      <c r="G36" s="537" t="s">
        <v>6</v>
      </c>
      <c r="H36" s="562">
        <v>18.45</v>
      </c>
      <c r="I36" s="482">
        <f>F36*H36</f>
        <v>45785.52</v>
      </c>
      <c r="J36" s="518"/>
      <c r="K36" s="522">
        <v>0.0426</v>
      </c>
      <c r="L36" s="520"/>
      <c r="M36" s="521"/>
      <c r="N36" s="521"/>
      <c r="O36" s="482">
        <f>I36*(1+O$8%+21%)</f>
        <v>55400.479199999994</v>
      </c>
      <c r="P36" s="28"/>
      <c r="U36" s="356" t="s">
        <v>152</v>
      </c>
      <c r="V36" s="359">
        <v>25.44</v>
      </c>
      <c r="W36" s="356" t="s">
        <v>156</v>
      </c>
      <c r="X36" s="362">
        <v>20.34</v>
      </c>
      <c r="Z36" s="352"/>
    </row>
    <row r="37" spans="2:27" s="46" customFormat="1" ht="16.5" thickBot="1">
      <c r="B37" s="373"/>
      <c r="C37" s="374"/>
      <c r="D37" s="211"/>
      <c r="E37" s="566" t="s">
        <v>232</v>
      </c>
      <c r="F37" s="115">
        <f>'MEMÓRIA DE CÁLCULO'!B10</f>
        <v>0</v>
      </c>
      <c r="G37" s="543"/>
      <c r="H37" s="563"/>
      <c r="I37" s="498">
        <f>F37*H37</f>
        <v>0</v>
      </c>
      <c r="J37" s="523"/>
      <c r="K37" s="522"/>
      <c r="L37" s="520"/>
      <c r="M37" s="521"/>
      <c r="N37" s="521"/>
      <c r="O37" s="498">
        <f>I37*(1+O$8%)</f>
        <v>0</v>
      </c>
      <c r="P37" s="603">
        <f>SUM(O36:O36)</f>
        <v>55400.479199999994</v>
      </c>
      <c r="Q37" s="350" t="s">
        <v>143</v>
      </c>
      <c r="U37" s="357" t="s">
        <v>153</v>
      </c>
      <c r="V37" s="360">
        <v>19.97</v>
      </c>
      <c r="W37" s="357" t="s">
        <v>157</v>
      </c>
      <c r="X37" s="363">
        <v>16.94</v>
      </c>
      <c r="Z37" s="352"/>
      <c r="AA37" s="43"/>
    </row>
    <row r="38" spans="2:27" s="46" customFormat="1" ht="9" customHeight="1" thickBot="1">
      <c r="B38" s="117"/>
      <c r="C38" s="338"/>
      <c r="D38" s="20"/>
      <c r="E38" s="339"/>
      <c r="F38" s="111"/>
      <c r="G38" s="541"/>
      <c r="H38" s="524"/>
      <c r="I38" s="525"/>
      <c r="J38" s="526"/>
      <c r="K38" s="505"/>
      <c r="L38" s="520"/>
      <c r="M38" s="521"/>
      <c r="N38" s="521"/>
      <c r="O38" s="525">
        <f>I38*(1+O$8%)</f>
        <v>0</v>
      </c>
      <c r="P38" s="24"/>
      <c r="Q38" s="337"/>
      <c r="U38" s="357" t="s">
        <v>154</v>
      </c>
      <c r="V38" s="360">
        <v>20</v>
      </c>
      <c r="W38" s="357" t="s">
        <v>158</v>
      </c>
      <c r="X38" s="363">
        <v>16</v>
      </c>
      <c r="Z38" s="352"/>
      <c r="AA38" s="43"/>
    </row>
    <row r="39" spans="2:26" s="43" customFormat="1" ht="15.75">
      <c r="B39" s="112"/>
      <c r="C39" s="109"/>
      <c r="D39" s="208">
        <v>5</v>
      </c>
      <c r="E39" s="209" t="s">
        <v>225</v>
      </c>
      <c r="F39" s="113"/>
      <c r="G39" s="546"/>
      <c r="H39" s="564"/>
      <c r="I39" s="527"/>
      <c r="J39" s="528"/>
      <c r="K39" s="519"/>
      <c r="L39" s="529"/>
      <c r="M39" s="530"/>
      <c r="N39" s="530"/>
      <c r="O39" s="531"/>
      <c r="P39" s="406"/>
      <c r="U39" s="357" t="s">
        <v>155</v>
      </c>
      <c r="V39" s="360">
        <v>19.25</v>
      </c>
      <c r="W39" s="357" t="s">
        <v>159</v>
      </c>
      <c r="X39" s="363">
        <v>15.39</v>
      </c>
      <c r="Z39" s="352"/>
    </row>
    <row r="40" spans="2:26" s="43" customFormat="1" ht="15.75">
      <c r="B40" s="580" t="s">
        <v>163</v>
      </c>
      <c r="C40" s="587">
        <v>85181</v>
      </c>
      <c r="D40" s="218" t="s">
        <v>226</v>
      </c>
      <c r="E40" s="426" t="s">
        <v>227</v>
      </c>
      <c r="F40" s="481">
        <v>1250</v>
      </c>
      <c r="G40" s="547" t="s">
        <v>6</v>
      </c>
      <c r="H40" s="481">
        <v>57.38</v>
      </c>
      <c r="I40" s="532">
        <f>F40*H40</f>
        <v>71725</v>
      </c>
      <c r="J40" s="533"/>
      <c r="K40" s="522">
        <v>0.0577</v>
      </c>
      <c r="L40" s="529"/>
      <c r="M40" s="530"/>
      <c r="N40" s="530"/>
      <c r="O40" s="534">
        <f>I40*(1+O$8%+21%)</f>
        <v>86787.25</v>
      </c>
      <c r="P40" s="24"/>
      <c r="U40" s="418"/>
      <c r="V40" s="419"/>
      <c r="W40" s="418"/>
      <c r="X40" s="420"/>
      <c r="Z40" s="352"/>
    </row>
    <row r="41" spans="2:26" s="43" customFormat="1" ht="16.5" thickBot="1">
      <c r="B41" s="581"/>
      <c r="C41" s="415"/>
      <c r="D41" s="218"/>
      <c r="E41" s="567" t="s">
        <v>232</v>
      </c>
      <c r="F41" s="416"/>
      <c r="G41" s="417"/>
      <c r="H41" s="416"/>
      <c r="I41" s="3"/>
      <c r="J41" s="442"/>
      <c r="K41" s="428"/>
      <c r="L41" s="446"/>
      <c r="M41" s="447"/>
      <c r="N41" s="447"/>
      <c r="O41" s="3"/>
      <c r="P41" s="604">
        <f>O40</f>
        <v>86787.25</v>
      </c>
      <c r="U41" s="358"/>
      <c r="V41" s="361"/>
      <c r="W41" s="358"/>
      <c r="X41" s="364"/>
      <c r="Z41" s="352"/>
    </row>
    <row r="42" spans="2:26" s="43" customFormat="1" ht="9" customHeight="1" thickBot="1">
      <c r="B42" s="475"/>
      <c r="C42" s="448"/>
      <c r="D42" s="448"/>
      <c r="E42" s="448"/>
      <c r="F42" s="448"/>
      <c r="G42" s="448"/>
      <c r="H42" s="448"/>
      <c r="I42" s="434"/>
      <c r="J42" s="429"/>
      <c r="K42" s="449"/>
      <c r="L42" s="73"/>
      <c r="M42" s="74"/>
      <c r="N42" s="74"/>
      <c r="O42" s="23"/>
      <c r="P42" s="24"/>
      <c r="U42" s="413"/>
      <c r="V42" s="414"/>
      <c r="W42" s="413"/>
      <c r="X42" s="414"/>
      <c r="Z42" s="352"/>
    </row>
    <row r="43" spans="2:26" s="43" customFormat="1" ht="28.5" customHeight="1" thickBot="1">
      <c r="B43" s="611"/>
      <c r="C43" s="612"/>
      <c r="D43" s="743" t="s">
        <v>230</v>
      </c>
      <c r="E43" s="743"/>
      <c r="F43" s="743"/>
      <c r="G43" s="743"/>
      <c r="H43" s="743"/>
      <c r="I43" s="743"/>
      <c r="J43" s="606"/>
      <c r="K43" s="607"/>
      <c r="L43" s="608"/>
      <c r="M43" s="609"/>
      <c r="N43" s="609"/>
      <c r="O43" s="610"/>
      <c r="P43" s="605">
        <f>P15+P26+P33+P37+P41</f>
        <v>1162329.882406</v>
      </c>
      <c r="U43" s="413"/>
      <c r="V43" s="414"/>
      <c r="W43" s="413"/>
      <c r="X43" s="414"/>
      <c r="Z43" s="352"/>
    </row>
    <row r="44" spans="2:26" s="43" customFormat="1" ht="12.75">
      <c r="B44" s="112"/>
      <c r="C44" s="90"/>
      <c r="D44" s="340"/>
      <c r="E44" s="1"/>
      <c r="F44" s="718"/>
      <c r="G44" s="718"/>
      <c r="H44" s="718"/>
      <c r="I44" s="718"/>
      <c r="J44" s="720"/>
      <c r="K44" s="720"/>
      <c r="L44" s="411"/>
      <c r="M44" s="411"/>
      <c r="N44" s="411"/>
      <c r="O44" s="720"/>
      <c r="P44" s="716"/>
      <c r="U44" s="413"/>
      <c r="V44" s="414"/>
      <c r="W44" s="413"/>
      <c r="X44" s="414"/>
      <c r="Z44" s="352"/>
    </row>
    <row r="45" spans="2:26" s="43" customFormat="1" ht="12.75">
      <c r="B45" s="66"/>
      <c r="C45" s="67"/>
      <c r="D45" s="341"/>
      <c r="E45" s="1"/>
      <c r="F45" s="719"/>
      <c r="G45" s="719"/>
      <c r="H45" s="719"/>
      <c r="I45" s="719"/>
      <c r="J45" s="633"/>
      <c r="K45" s="633"/>
      <c r="L45" s="368"/>
      <c r="M45" s="368"/>
      <c r="N45" s="368"/>
      <c r="O45" s="633"/>
      <c r="P45" s="717"/>
      <c r="U45" s="413"/>
      <c r="V45" s="414"/>
      <c r="W45" s="413"/>
      <c r="X45" s="414"/>
      <c r="Z45" s="352"/>
    </row>
    <row r="46" spans="2:26" s="43" customFormat="1" ht="12.75">
      <c r="B46" s="66"/>
      <c r="C46" s="67"/>
      <c r="D46" s="341"/>
      <c r="E46" s="1"/>
      <c r="F46" s="719"/>
      <c r="G46" s="719"/>
      <c r="H46" s="719"/>
      <c r="I46" s="719"/>
      <c r="J46" s="633"/>
      <c r="K46" s="633"/>
      <c r="L46" s="368"/>
      <c r="M46" s="368"/>
      <c r="N46" s="368"/>
      <c r="O46" s="633"/>
      <c r="P46" s="717"/>
      <c r="U46" s="413"/>
      <c r="V46" s="414"/>
      <c r="W46" s="413"/>
      <c r="X46" s="414"/>
      <c r="Z46" s="352"/>
    </row>
    <row r="47" spans="2:26" s="43" customFormat="1" ht="15.75">
      <c r="B47" s="66"/>
      <c r="C47" s="67"/>
      <c r="D47" s="341"/>
      <c r="E47" s="1"/>
      <c r="F47" s="26"/>
      <c r="G47" s="1"/>
      <c r="H47" s="1"/>
      <c r="I47" s="1"/>
      <c r="J47" s="311"/>
      <c r="K47" s="207"/>
      <c r="L47" s="73"/>
      <c r="M47" s="74"/>
      <c r="N47" s="74"/>
      <c r="O47" s="1"/>
      <c r="P47" s="334"/>
      <c r="U47" s="413"/>
      <c r="V47" s="414"/>
      <c r="W47" s="413"/>
      <c r="X47" s="414"/>
      <c r="Z47" s="352"/>
    </row>
    <row r="48" spans="2:26" s="43" customFormat="1" ht="15.75">
      <c r="B48" s="242"/>
      <c r="C48" s="307"/>
      <c r="D48" s="307"/>
      <c r="E48" s="307"/>
      <c r="F48" s="311"/>
      <c r="G48" s="715"/>
      <c r="H48" s="715"/>
      <c r="I48" s="715"/>
      <c r="J48" s="312"/>
      <c r="K48" s="335"/>
      <c r="L48" s="73"/>
      <c r="M48" s="74"/>
      <c r="N48" s="74"/>
      <c r="O48" s="73"/>
      <c r="P48" s="203"/>
      <c r="U48" s="413"/>
      <c r="V48" s="414"/>
      <c r="W48" s="413"/>
      <c r="X48" s="414"/>
      <c r="Z48" s="352"/>
    </row>
    <row r="49" spans="2:26" s="43" customFormat="1" ht="15.75">
      <c r="B49" s="66"/>
      <c r="C49" s="67"/>
      <c r="D49" s="342"/>
      <c r="E49" s="412" t="s">
        <v>45</v>
      </c>
      <c r="F49" s="308"/>
      <c r="G49" s="710" t="s">
        <v>221</v>
      </c>
      <c r="H49" s="711"/>
      <c r="I49" s="711"/>
      <c r="J49" s="711"/>
      <c r="K49" s="711"/>
      <c r="L49" s="711"/>
      <c r="M49" s="711"/>
      <c r="N49" s="711"/>
      <c r="O49" s="711"/>
      <c r="P49" s="47"/>
      <c r="U49" s="413"/>
      <c r="V49" s="414"/>
      <c r="W49" s="413"/>
      <c r="X49" s="414"/>
      <c r="Z49" s="352"/>
    </row>
    <row r="50" spans="2:26" s="43" customFormat="1" ht="15.75">
      <c r="B50" s="66"/>
      <c r="C50" s="167"/>
      <c r="D50" s="343"/>
      <c r="E50" s="588" t="s">
        <v>236</v>
      </c>
      <c r="F50" s="309"/>
      <c r="G50" s="712" t="s">
        <v>212</v>
      </c>
      <c r="H50" s="712"/>
      <c r="I50" s="712"/>
      <c r="J50" s="712"/>
      <c r="K50" s="712"/>
      <c r="L50" s="712"/>
      <c r="M50" s="712"/>
      <c r="N50" s="712"/>
      <c r="O50" s="712"/>
      <c r="P50" s="47"/>
      <c r="U50" s="413"/>
      <c r="V50" s="414"/>
      <c r="W50" s="413"/>
      <c r="X50" s="414"/>
      <c r="Z50" s="352"/>
    </row>
    <row r="51" spans="2:26" s="43" customFormat="1" ht="15.75">
      <c r="B51" s="66"/>
      <c r="C51" s="167"/>
      <c r="D51" s="343"/>
      <c r="E51" s="589" t="s">
        <v>211</v>
      </c>
      <c r="F51" s="309"/>
      <c r="G51" s="591"/>
      <c r="H51" s="713" t="s">
        <v>237</v>
      </c>
      <c r="I51" s="713"/>
      <c r="J51" s="713"/>
      <c r="K51" s="713"/>
      <c r="L51" s="592"/>
      <c r="M51" s="593"/>
      <c r="N51" s="593"/>
      <c r="O51" s="594"/>
      <c r="P51" s="47"/>
      <c r="U51" s="413"/>
      <c r="V51" s="414"/>
      <c r="W51" s="413"/>
      <c r="X51" s="414"/>
      <c r="Z51" s="352"/>
    </row>
    <row r="52" spans="2:26" s="43" customFormat="1" ht="16.5" thickBot="1">
      <c r="B52" s="83"/>
      <c r="C52" s="86"/>
      <c r="D52" s="344"/>
      <c r="E52" s="590"/>
      <c r="F52" s="310"/>
      <c r="G52" s="595"/>
      <c r="H52" s="595"/>
      <c r="I52" s="595"/>
      <c r="J52" s="596"/>
      <c r="K52" s="597"/>
      <c r="L52" s="598"/>
      <c r="M52" s="599"/>
      <c r="N52" s="599"/>
      <c r="O52" s="598"/>
      <c r="P52" s="336"/>
      <c r="U52" s="413"/>
      <c r="V52" s="414"/>
      <c r="W52" s="413"/>
      <c r="X52" s="414"/>
      <c r="Z52" s="352"/>
    </row>
    <row r="53" spans="4:16" ht="12.75">
      <c r="D53" s="52"/>
      <c r="E53" s="53"/>
      <c r="F53" s="54"/>
      <c r="G53" s="55"/>
      <c r="H53" s="56"/>
      <c r="I53" s="55"/>
      <c r="J53" s="53"/>
      <c r="O53" s="55"/>
      <c r="P53" s="53"/>
    </row>
    <row r="54" spans="4:16" ht="33" customHeight="1">
      <c r="D54" s="52"/>
      <c r="E54" s="53"/>
      <c r="F54" s="54"/>
      <c r="G54" s="55"/>
      <c r="H54" s="56"/>
      <c r="I54" s="55"/>
      <c r="J54" s="53"/>
      <c r="O54" s="55"/>
      <c r="P54" s="53"/>
    </row>
    <row r="55" spans="4:16" ht="12.75" customHeight="1">
      <c r="D55" s="52"/>
      <c r="E55" s="53"/>
      <c r="F55" s="54"/>
      <c r="G55" s="55"/>
      <c r="H55" s="56"/>
      <c r="I55" s="55"/>
      <c r="J55" s="53"/>
      <c r="O55" s="55"/>
      <c r="P55" s="53"/>
    </row>
    <row r="56" spans="4:15" ht="12.75" customHeight="1">
      <c r="D56" s="52"/>
      <c r="E56" s="53"/>
      <c r="F56" s="54"/>
      <c r="G56" s="55"/>
      <c r="H56" s="56"/>
      <c r="I56" s="55"/>
      <c r="O56" s="55"/>
    </row>
    <row r="57" ht="13.5" customHeight="1"/>
    <row r="58" spans="2:16" s="43" customFormat="1" ht="12.75">
      <c r="B58" s="50"/>
      <c r="C58" s="51"/>
      <c r="D58" s="58"/>
      <c r="E58" s="31"/>
      <c r="F58" s="59"/>
      <c r="G58" s="31"/>
      <c r="H58" s="60"/>
      <c r="I58" s="31"/>
      <c r="J58" s="31"/>
      <c r="K58" s="51"/>
      <c r="L58" s="31"/>
      <c r="M58" s="57"/>
      <c r="N58" s="57"/>
      <c r="O58" s="31"/>
      <c r="P58" s="31"/>
    </row>
    <row r="59" spans="2:16" s="43" customFormat="1" ht="12.75">
      <c r="B59" s="50"/>
      <c r="C59" s="51"/>
      <c r="D59" s="58"/>
      <c r="E59" s="31"/>
      <c r="F59" s="59"/>
      <c r="G59" s="31"/>
      <c r="H59" s="60"/>
      <c r="I59" s="31"/>
      <c r="J59" s="31"/>
      <c r="K59" s="51"/>
      <c r="L59" s="31"/>
      <c r="M59" s="57"/>
      <c r="N59" s="57"/>
      <c r="O59" s="31"/>
      <c r="P59" s="31"/>
    </row>
    <row r="60" spans="2:16" s="43" customFormat="1" ht="12.75">
      <c r="B60" s="50"/>
      <c r="C60" s="51"/>
      <c r="D60" s="58"/>
      <c r="E60" s="31"/>
      <c r="F60" s="59"/>
      <c r="G60" s="31"/>
      <c r="H60" s="60"/>
      <c r="I60" s="31"/>
      <c r="J60" s="31"/>
      <c r="K60" s="51"/>
      <c r="L60" s="31"/>
      <c r="M60" s="57"/>
      <c r="N60" s="57"/>
      <c r="O60" s="31"/>
      <c r="P60" s="31"/>
    </row>
  </sheetData>
  <sheetProtection/>
  <mergeCells count="28">
    <mergeCell ref="B11:C11"/>
    <mergeCell ref="H4:I4"/>
    <mergeCell ref="H5:I5"/>
    <mergeCell ref="O44:O46"/>
    <mergeCell ref="D43:I43"/>
    <mergeCell ref="J6:P6"/>
    <mergeCell ref="J5:P5"/>
    <mergeCell ref="J4:P4"/>
    <mergeCell ref="U35:V35"/>
    <mergeCell ref="W35:X35"/>
    <mergeCell ref="U18:W18"/>
    <mergeCell ref="U24:V24"/>
    <mergeCell ref="U23:V23"/>
    <mergeCell ref="D7:G7"/>
    <mergeCell ref="O7:P7"/>
    <mergeCell ref="I7:K7"/>
    <mergeCell ref="D8:E8"/>
    <mergeCell ref="D9:E9"/>
    <mergeCell ref="B3:P3"/>
    <mergeCell ref="G49:O49"/>
    <mergeCell ref="G50:O50"/>
    <mergeCell ref="H51:K51"/>
    <mergeCell ref="D10:G10"/>
    <mergeCell ref="G48:I48"/>
    <mergeCell ref="P44:P46"/>
    <mergeCell ref="F44:I46"/>
    <mergeCell ref="J44:J46"/>
    <mergeCell ref="K44:K46"/>
  </mergeCells>
  <conditionalFormatting sqref="I13 D19:D41 G39:I40 D15:E18 G15:J19 H35 F13 P14:P18 H14:J14 E13:E14 G13:G14 H20:H28 E23:E35 G20:G38 I20:I38 E39 G40:G41 I40:I42 J20:J42 O12:O25 O19:P42">
    <cfRule type="expression" priority="4" dxfId="1" stopIfTrue="1">
      <formula>$K12=1</formula>
    </cfRule>
  </conditionalFormatting>
  <conditionalFormatting sqref="F33:F34">
    <cfRule type="expression" priority="17" dxfId="1" stopIfTrue="1">
      <formula>$K14=1</formula>
    </cfRule>
  </conditionalFormatting>
  <conditionalFormatting sqref="F14">
    <cfRule type="expression" priority="3" dxfId="1" stopIfTrue="1">
      <formula>$K65526=1</formula>
    </cfRule>
  </conditionalFormatting>
  <printOptions horizontalCentered="1" verticalCentered="1"/>
  <pageMargins left="0.31496062992125984" right="1.7716535433070868" top="0.3937007874015748" bottom="0.7086614173228347" header="0.1968503937007874" footer="0.2755905511811024"/>
  <pageSetup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6"/>
  <sheetViews>
    <sheetView showZeros="0" view="pageBreakPreview" zoomScaleSheetLayoutView="100" zoomScalePageLayoutView="0" workbookViewId="0" topLeftCell="A4">
      <selection activeCell="J19" sqref="J19:M19"/>
    </sheetView>
  </sheetViews>
  <sheetFormatPr defaultColWidth="4.28125" defaultRowHeight="12.75"/>
  <cols>
    <col min="1" max="1" width="3.00390625" style="32" customWidth="1"/>
    <col min="2" max="2" width="2.00390625" style="32" customWidth="1"/>
    <col min="3" max="3" width="3.140625" style="128" customWidth="1"/>
    <col min="4" max="4" width="4.28125" style="128" customWidth="1"/>
    <col min="5" max="5" width="3.00390625" style="128" customWidth="1"/>
    <col min="6" max="7" width="4.28125" style="128" customWidth="1"/>
    <col min="8" max="8" width="5.00390625" style="128" customWidth="1"/>
    <col min="9" max="9" width="12.00390625" style="32" customWidth="1"/>
    <col min="10" max="12" width="4.28125" style="32" customWidth="1"/>
    <col min="13" max="13" width="1.57421875" style="32" customWidth="1"/>
    <col min="14" max="15" width="4.28125" style="32" customWidth="1"/>
    <col min="16" max="16" width="4.7109375" style="32" customWidth="1"/>
    <col min="17" max="17" width="4.28125" style="32" customWidth="1"/>
    <col min="18" max="18" width="7.7109375" style="32" customWidth="1"/>
    <col min="19" max="19" width="7.28125" style="32" customWidth="1"/>
    <col min="20" max="20" width="4.28125" style="32" customWidth="1"/>
    <col min="21" max="21" width="4.7109375" style="32" customWidth="1"/>
    <col min="22" max="22" width="1.28515625" style="32" customWidth="1"/>
    <col min="23" max="23" width="4.28125" style="32" customWidth="1"/>
    <col min="24" max="24" width="5.57421875" style="32" customWidth="1"/>
    <col min="25" max="25" width="6.7109375" style="32" customWidth="1"/>
    <col min="26" max="26" width="4.28125" style="32" customWidth="1"/>
    <col min="27" max="27" width="4.7109375" style="32" customWidth="1"/>
    <col min="28" max="28" width="2.28125" style="32" customWidth="1"/>
    <col min="29" max="30" width="5.421875" style="32" customWidth="1"/>
    <col min="31" max="31" width="6.57421875" style="129" customWidth="1"/>
    <col min="32" max="32" width="4.28125" style="32" customWidth="1"/>
    <col min="33" max="33" width="4.7109375" style="32" customWidth="1"/>
    <col min="34" max="34" width="2.8515625" style="32" customWidth="1"/>
    <col min="35" max="35" width="4.28125" style="32" customWidth="1"/>
    <col min="36" max="36" width="6.7109375" style="32" customWidth="1"/>
    <col min="37" max="37" width="7.421875" style="32" customWidth="1"/>
    <col min="38" max="38" width="12.8515625" style="32" customWidth="1"/>
    <col min="39" max="39" width="8.00390625" style="32" customWidth="1"/>
    <col min="40" max="40" width="8.28125" style="32" customWidth="1"/>
    <col min="41" max="41" width="8.140625" style="32" customWidth="1"/>
    <col min="42" max="42" width="8.421875" style="32" customWidth="1"/>
    <col min="43" max="43" width="9.57421875" style="32" customWidth="1"/>
    <col min="44" max="16384" width="4.28125" style="32" customWidth="1"/>
  </cols>
  <sheetData>
    <row r="1" spans="1:37" ht="12.75">
      <c r="A1" s="130"/>
      <c r="B1" s="131"/>
      <c r="C1" s="132"/>
      <c r="D1" s="132"/>
      <c r="E1" s="132"/>
      <c r="F1" s="132"/>
      <c r="G1" s="132"/>
      <c r="H1" s="132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3"/>
      <c r="AF1" s="131"/>
      <c r="AG1" s="131"/>
      <c r="AH1" s="131"/>
      <c r="AI1" s="131"/>
      <c r="AJ1" s="131"/>
      <c r="AK1" s="134"/>
    </row>
    <row r="2" spans="1:37" ht="12.75">
      <c r="A2" s="135"/>
      <c r="B2" s="136"/>
      <c r="C2" s="137"/>
      <c r="D2" s="137"/>
      <c r="E2" s="137"/>
      <c r="F2" s="137"/>
      <c r="G2" s="137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8"/>
      <c r="AF2" s="136"/>
      <c r="AG2" s="136"/>
      <c r="AH2" s="136"/>
      <c r="AI2" s="136"/>
      <c r="AJ2" s="136"/>
      <c r="AK2" s="139"/>
    </row>
    <row r="3" spans="1:37" ht="12.75">
      <c r="A3" s="135"/>
      <c r="B3" s="136"/>
      <c r="C3" s="137"/>
      <c r="D3" s="137"/>
      <c r="E3" s="137"/>
      <c r="F3" s="137"/>
      <c r="G3" s="137"/>
      <c r="H3" s="137"/>
      <c r="I3" s="140" t="s">
        <v>66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8"/>
      <c r="AF3" s="136"/>
      <c r="AG3" s="136"/>
      <c r="AH3" s="136"/>
      <c r="AI3" s="136"/>
      <c r="AJ3" s="136"/>
      <c r="AK3" s="139"/>
    </row>
    <row r="4" spans="1:37" ht="10.5" customHeight="1">
      <c r="A4" s="135"/>
      <c r="B4" s="136"/>
      <c r="C4" s="137"/>
      <c r="D4" s="137"/>
      <c r="E4" s="137"/>
      <c r="F4" s="137"/>
      <c r="G4" s="137"/>
      <c r="H4" s="137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8"/>
      <c r="AF4" s="136"/>
      <c r="AG4" s="136"/>
      <c r="AH4" s="136"/>
      <c r="AI4" s="136"/>
      <c r="AJ4" s="136"/>
      <c r="AK4" s="139"/>
    </row>
    <row r="5" spans="1:37" ht="13.5">
      <c r="A5" s="135" t="s">
        <v>14</v>
      </c>
      <c r="B5" s="136"/>
      <c r="C5" s="137"/>
      <c r="D5" s="137"/>
      <c r="E5" s="137"/>
      <c r="F5" s="137"/>
      <c r="G5" s="137"/>
      <c r="H5" s="141" t="s">
        <v>15</v>
      </c>
      <c r="I5" s="136"/>
      <c r="J5" s="136"/>
      <c r="K5" s="136"/>
      <c r="L5" s="136"/>
      <c r="M5" s="136"/>
      <c r="N5" s="136"/>
      <c r="O5" s="139"/>
      <c r="P5" s="136"/>
      <c r="Q5" s="777" t="s">
        <v>16</v>
      </c>
      <c r="R5" s="787"/>
      <c r="S5" s="787"/>
      <c r="T5" s="787"/>
      <c r="U5" s="787"/>
      <c r="V5" s="787"/>
      <c r="W5" s="787"/>
      <c r="X5" s="787"/>
      <c r="Y5" s="779"/>
      <c r="Z5" s="139"/>
      <c r="AA5" s="777" t="s">
        <v>63</v>
      </c>
      <c r="AB5" s="778"/>
      <c r="AC5" s="778"/>
      <c r="AD5" s="778"/>
      <c r="AE5" s="778"/>
      <c r="AF5" s="778"/>
      <c r="AG5" s="778"/>
      <c r="AH5" s="778"/>
      <c r="AI5" s="778"/>
      <c r="AJ5" s="778"/>
      <c r="AK5" s="779"/>
    </row>
    <row r="6" spans="1:37" ht="13.5">
      <c r="A6" s="143" t="str">
        <f>'MEMÓRIA DE CÁLCULO'!G5</f>
        <v>X</v>
      </c>
      <c r="B6" s="830" t="s">
        <v>17</v>
      </c>
      <c r="C6" s="807"/>
      <c r="D6" s="137"/>
      <c r="E6" s="145">
        <f>'MEMÓRIA DE CÁLCULO'!H5</f>
        <v>0</v>
      </c>
      <c r="F6" s="136" t="s">
        <v>18</v>
      </c>
      <c r="G6" s="137"/>
      <c r="H6" s="831" t="str">
        <f>'MEMÓRIA DE CÁLCULO'!B4</f>
        <v>Gestão da Política de Desenvolvimento</v>
      </c>
      <c r="I6" s="832"/>
      <c r="J6" s="832"/>
      <c r="K6" s="832"/>
      <c r="L6" s="832"/>
      <c r="M6" s="832"/>
      <c r="N6" s="832"/>
      <c r="O6" s="833"/>
      <c r="P6" s="136"/>
      <c r="Q6" s="783">
        <f>'MEMÓRIA DE CÁLCULO'!B5</f>
        <v>0</v>
      </c>
      <c r="R6" s="784"/>
      <c r="S6" s="784"/>
      <c r="T6" s="784"/>
      <c r="U6" s="785"/>
      <c r="V6" s="785"/>
      <c r="W6" s="785"/>
      <c r="X6" s="785"/>
      <c r="Y6" s="786"/>
      <c r="Z6" s="146"/>
      <c r="AA6" s="780" t="s">
        <v>189</v>
      </c>
      <c r="AB6" s="781"/>
      <c r="AC6" s="781"/>
      <c r="AD6" s="781"/>
      <c r="AE6" s="781"/>
      <c r="AF6" s="781"/>
      <c r="AG6" s="781"/>
      <c r="AH6" s="781"/>
      <c r="AI6" s="781"/>
      <c r="AJ6" s="781"/>
      <c r="AK6" s="782"/>
    </row>
    <row r="7" spans="1:37" ht="6" customHeight="1">
      <c r="A7" s="135"/>
      <c r="B7" s="144"/>
      <c r="C7" s="147"/>
      <c r="D7" s="137"/>
      <c r="E7" s="137"/>
      <c r="F7" s="137"/>
      <c r="G7" s="137"/>
      <c r="H7" s="13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8"/>
      <c r="AF7" s="136"/>
      <c r="AG7" s="136"/>
      <c r="AH7" s="136"/>
      <c r="AI7" s="136"/>
      <c r="AJ7" s="136"/>
      <c r="AK7" s="139"/>
    </row>
    <row r="8" spans="1:38" ht="12.75">
      <c r="A8" s="135" t="s">
        <v>19</v>
      </c>
      <c r="B8" s="136"/>
      <c r="C8" s="137"/>
      <c r="D8" s="137"/>
      <c r="E8" s="137"/>
      <c r="F8" s="137"/>
      <c r="G8" s="137"/>
      <c r="H8" s="137"/>
      <c r="I8" s="135"/>
      <c r="J8" s="135" t="s">
        <v>20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9"/>
      <c r="AA8" s="136"/>
      <c r="AB8" s="135" t="s">
        <v>21</v>
      </c>
      <c r="AC8" s="136"/>
      <c r="AD8" s="136"/>
      <c r="AE8" s="138"/>
      <c r="AF8" s="136"/>
      <c r="AG8" s="148"/>
      <c r="AH8" s="135" t="s">
        <v>22</v>
      </c>
      <c r="AI8" s="136"/>
      <c r="AJ8" s="136"/>
      <c r="AK8" s="139"/>
      <c r="AL8" s="118"/>
    </row>
    <row r="9" spans="1:38" ht="12.75">
      <c r="A9" s="761" t="s">
        <v>95</v>
      </c>
      <c r="B9" s="762"/>
      <c r="C9" s="762"/>
      <c r="D9" s="762"/>
      <c r="E9" s="762"/>
      <c r="F9" s="762"/>
      <c r="G9" s="762"/>
      <c r="H9" s="763"/>
      <c r="I9" s="135"/>
      <c r="J9" s="840" t="str">
        <f>'PLANILHA '!B3</f>
        <v>PREFEITURA     MUNICIPAL    DE    AGUDOS</v>
      </c>
      <c r="K9" s="841"/>
      <c r="L9" s="841"/>
      <c r="M9" s="841"/>
      <c r="N9" s="841"/>
      <c r="O9" s="841"/>
      <c r="P9" s="841"/>
      <c r="Q9" s="837" t="str">
        <f>'MEMÓRIA DE CÁLCULO'!B1</f>
        <v>UBIRAJARA</v>
      </c>
      <c r="R9" s="838"/>
      <c r="S9" s="838"/>
      <c r="T9" s="838"/>
      <c r="U9" s="838"/>
      <c r="V9" s="838"/>
      <c r="W9" s="838"/>
      <c r="X9" s="838"/>
      <c r="Y9" s="838"/>
      <c r="Z9" s="839"/>
      <c r="AA9" s="136"/>
      <c r="AB9" s="842">
        <f>'MEMÓRIA DE CÁLCULO'!G7</f>
        <v>223516.72</v>
      </c>
      <c r="AC9" s="843"/>
      <c r="AD9" s="843"/>
      <c r="AE9" s="843"/>
      <c r="AF9" s="844"/>
      <c r="AG9" s="148"/>
      <c r="AH9" s="834">
        <v>40269</v>
      </c>
      <c r="AI9" s="835"/>
      <c r="AJ9" s="835"/>
      <c r="AK9" s="836"/>
      <c r="AL9" s="118"/>
    </row>
    <row r="10" spans="1:37" ht="7.5" customHeight="1">
      <c r="A10" s="135"/>
      <c r="B10" s="136"/>
      <c r="C10" s="137"/>
      <c r="D10" s="137"/>
      <c r="E10" s="137"/>
      <c r="F10" s="137"/>
      <c r="G10" s="137"/>
      <c r="H10" s="137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8"/>
      <c r="AF10" s="136"/>
      <c r="AG10" s="136"/>
      <c r="AH10" s="136"/>
      <c r="AI10" s="136"/>
      <c r="AJ10" s="136"/>
      <c r="AK10" s="139"/>
    </row>
    <row r="11" spans="1:37" ht="12.75">
      <c r="A11" s="135" t="s">
        <v>23</v>
      </c>
      <c r="B11" s="136"/>
      <c r="C11" s="137"/>
      <c r="D11" s="137"/>
      <c r="E11" s="137"/>
      <c r="F11" s="137"/>
      <c r="G11" s="137"/>
      <c r="H11" s="137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8"/>
      <c r="AF11" s="136"/>
      <c r="AG11" s="136"/>
      <c r="AH11" s="136"/>
      <c r="AI11" s="136"/>
      <c r="AJ11" s="136"/>
      <c r="AK11" s="139"/>
    </row>
    <row r="12" spans="1:37" ht="12">
      <c r="A12" s="764">
        <f>'PLANILHA '!E9</f>
        <v>0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765"/>
      <c r="AK12" s="766"/>
    </row>
    <row r="13" spans="1:37" ht="7.5" customHeight="1">
      <c r="A13" s="135"/>
      <c r="B13" s="136"/>
      <c r="C13" s="137"/>
      <c r="D13" s="137"/>
      <c r="E13" s="137"/>
      <c r="F13" s="137"/>
      <c r="G13" s="137"/>
      <c r="H13" s="137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6"/>
      <c r="AG13" s="136"/>
      <c r="AH13" s="136"/>
      <c r="AI13" s="136"/>
      <c r="AJ13" s="136"/>
      <c r="AK13" s="139"/>
    </row>
    <row r="14" spans="1:37" ht="13.5">
      <c r="A14" s="135" t="s">
        <v>24</v>
      </c>
      <c r="B14" s="136"/>
      <c r="C14" s="137"/>
      <c r="D14" s="137"/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896"/>
      <c r="R14" s="778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8"/>
      <c r="AF14" s="136"/>
      <c r="AG14" s="136"/>
      <c r="AH14" s="136"/>
      <c r="AI14" s="136"/>
      <c r="AJ14" s="136"/>
      <c r="AK14" s="139"/>
    </row>
    <row r="15" spans="1:37" ht="12.75">
      <c r="A15" s="897" t="str">
        <f>'MEMÓRIA DE CÁLCULO'!B2</f>
        <v>Recapeamento asfáltico - cbuq</v>
      </c>
      <c r="B15" s="898"/>
      <c r="C15" s="898"/>
      <c r="D15" s="898"/>
      <c r="E15" s="898"/>
      <c r="F15" s="898"/>
      <c r="G15" s="898"/>
      <c r="H15" s="898"/>
      <c r="I15" s="898"/>
      <c r="J15" s="898"/>
      <c r="K15" s="898"/>
      <c r="L15" s="898"/>
      <c r="M15" s="898"/>
      <c r="N15" s="898"/>
      <c r="O15" s="898"/>
      <c r="P15" s="898"/>
      <c r="Q15" s="898"/>
      <c r="R15" s="898"/>
      <c r="S15" s="898"/>
      <c r="T15" s="898"/>
      <c r="U15" s="898"/>
      <c r="V15" s="898"/>
      <c r="W15" s="898"/>
      <c r="X15" s="898"/>
      <c r="Y15" s="898"/>
      <c r="Z15" s="898"/>
      <c r="AA15" s="898"/>
      <c r="AB15" s="898"/>
      <c r="AC15" s="898"/>
      <c r="AD15" s="898"/>
      <c r="AE15" s="898"/>
      <c r="AF15" s="898"/>
      <c r="AG15" s="898"/>
      <c r="AH15" s="898"/>
      <c r="AI15" s="898"/>
      <c r="AJ15" s="898"/>
      <c r="AK15" s="899"/>
    </row>
    <row r="16" spans="1:37" ht="13.5" thickBot="1">
      <c r="A16" s="135"/>
      <c r="B16" s="136"/>
      <c r="C16" s="137"/>
      <c r="D16" s="137"/>
      <c r="E16" s="137"/>
      <c r="F16" s="137"/>
      <c r="G16" s="137"/>
      <c r="H16" s="137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8"/>
      <c r="AF16" s="136"/>
      <c r="AG16" s="136"/>
      <c r="AH16" s="136"/>
      <c r="AI16" s="136"/>
      <c r="AJ16" s="136"/>
      <c r="AK16" s="139"/>
    </row>
    <row r="17" spans="1:37" ht="12.75" thickBot="1">
      <c r="A17" s="815" t="s">
        <v>9</v>
      </c>
      <c r="B17" s="816"/>
      <c r="C17" s="900" t="s">
        <v>25</v>
      </c>
      <c r="D17" s="900"/>
      <c r="E17" s="900"/>
      <c r="F17" s="900"/>
      <c r="G17" s="900"/>
      <c r="H17" s="901"/>
      <c r="I17" s="149" t="s">
        <v>26</v>
      </c>
      <c r="J17" s="904" t="s">
        <v>27</v>
      </c>
      <c r="K17" s="904"/>
      <c r="L17" s="904"/>
      <c r="M17" s="905"/>
      <c r="N17" s="767" t="s">
        <v>28</v>
      </c>
      <c r="O17" s="768"/>
      <c r="P17" s="768"/>
      <c r="Q17" s="768"/>
      <c r="R17" s="768"/>
      <c r="S17" s="769"/>
      <c r="T17" s="767" t="s">
        <v>29</v>
      </c>
      <c r="U17" s="768"/>
      <c r="V17" s="768"/>
      <c r="W17" s="768"/>
      <c r="X17" s="768"/>
      <c r="Y17" s="769"/>
      <c r="Z17" s="767" t="s">
        <v>30</v>
      </c>
      <c r="AA17" s="768"/>
      <c r="AB17" s="768"/>
      <c r="AC17" s="768"/>
      <c r="AD17" s="768"/>
      <c r="AE17" s="769"/>
      <c r="AF17" s="767" t="s">
        <v>41</v>
      </c>
      <c r="AG17" s="768"/>
      <c r="AH17" s="768"/>
      <c r="AI17" s="768"/>
      <c r="AJ17" s="768"/>
      <c r="AK17" s="820"/>
    </row>
    <row r="18" spans="1:42" ht="12.75" thickBot="1">
      <c r="A18" s="817"/>
      <c r="B18" s="818"/>
      <c r="C18" s="902"/>
      <c r="D18" s="902"/>
      <c r="E18" s="902"/>
      <c r="F18" s="902"/>
      <c r="G18" s="902"/>
      <c r="H18" s="903"/>
      <c r="I18" s="150" t="s">
        <v>31</v>
      </c>
      <c r="J18" s="807" t="s">
        <v>32</v>
      </c>
      <c r="K18" s="807"/>
      <c r="L18" s="807"/>
      <c r="M18" s="808"/>
      <c r="N18" s="809" t="s">
        <v>33</v>
      </c>
      <c r="O18" s="810"/>
      <c r="P18" s="810"/>
      <c r="Q18" s="810" t="s">
        <v>34</v>
      </c>
      <c r="R18" s="811"/>
      <c r="S18" s="150" t="s">
        <v>31</v>
      </c>
      <c r="T18" s="819" t="s">
        <v>33</v>
      </c>
      <c r="U18" s="770"/>
      <c r="V18" s="770"/>
      <c r="W18" s="770" t="s">
        <v>34</v>
      </c>
      <c r="X18" s="770"/>
      <c r="Y18" s="152" t="s">
        <v>31</v>
      </c>
      <c r="Z18" s="771" t="s">
        <v>33</v>
      </c>
      <c r="AA18" s="772"/>
      <c r="AB18" s="772"/>
      <c r="AC18" s="772" t="s">
        <v>34</v>
      </c>
      <c r="AD18" s="772"/>
      <c r="AE18" s="153" t="s">
        <v>31</v>
      </c>
      <c r="AF18" s="819" t="s">
        <v>33</v>
      </c>
      <c r="AG18" s="770"/>
      <c r="AH18" s="770"/>
      <c r="AI18" s="770" t="s">
        <v>34</v>
      </c>
      <c r="AJ18" s="770"/>
      <c r="AK18" s="151" t="s">
        <v>31</v>
      </c>
      <c r="AM18" s="32" t="s">
        <v>136</v>
      </c>
      <c r="AN18" s="32" t="s">
        <v>137</v>
      </c>
      <c r="AO18" s="32" t="s">
        <v>138</v>
      </c>
      <c r="AP18" s="32" t="s">
        <v>139</v>
      </c>
    </row>
    <row r="19" spans="1:43" ht="13.5" customHeight="1">
      <c r="A19" s="813">
        <v>1</v>
      </c>
      <c r="B19" s="814"/>
      <c r="C19" s="788" t="str">
        <f>'PLANILHA '!E13</f>
        <v>SERVICOS INICIAIS</v>
      </c>
      <c r="D19" s="789"/>
      <c r="E19" s="789"/>
      <c r="F19" s="789"/>
      <c r="G19" s="789"/>
      <c r="H19" s="790"/>
      <c r="I19" s="219" t="e">
        <f>J19/J$31</f>
        <v>#REF!</v>
      </c>
      <c r="J19" s="891">
        <f>'PLANILHA '!P14</f>
        <v>0</v>
      </c>
      <c r="K19" s="886"/>
      <c r="L19" s="886"/>
      <c r="M19" s="892"/>
      <c r="N19" s="828">
        <f>$J19*S19%*('MEMÓRIA DE CÁLCULO'!G$7/'MEMÓRIA DE CÁLCULO'!G$6)</f>
        <v>0</v>
      </c>
      <c r="O19" s="829"/>
      <c r="P19" s="829"/>
      <c r="Q19" s="829">
        <f>J19*S19%*('MEMÓRIA DE CÁLCULO'!G$8/'MEMÓRIA DE CÁLCULO'!G$6)</f>
        <v>0</v>
      </c>
      <c r="R19" s="829"/>
      <c r="S19" s="220">
        <v>40</v>
      </c>
      <c r="T19" s="828">
        <f>$J19*Y19%*('MEMÓRIA DE CÁLCULO'!$G$7/'MEMÓRIA DE CÁLCULO'!$G$6)</f>
        <v>0</v>
      </c>
      <c r="U19" s="829"/>
      <c r="V19" s="829"/>
      <c r="W19" s="849">
        <f>J19*Y19%*('MEMÓRIA DE CÁLCULO'!G$8/'MEMÓRIA DE CÁLCULO'!G$6)</f>
        <v>0</v>
      </c>
      <c r="X19" s="847"/>
      <c r="Y19" s="220">
        <v>30</v>
      </c>
      <c r="Z19" s="845">
        <f>J19*AE19%*('MEMÓRIA DE CÁLCULO'!G$7/'MEMÓRIA DE CÁLCULO'!G$6)</f>
        <v>0</v>
      </c>
      <c r="AA19" s="846"/>
      <c r="AB19" s="847"/>
      <c r="AC19" s="849">
        <f>J19*AE19%*('MEMÓRIA DE CÁLCULO'!G$8/'MEMÓRIA DE CÁLCULO'!G$6)</f>
        <v>0</v>
      </c>
      <c r="AD19" s="847"/>
      <c r="AE19" s="221">
        <v>30</v>
      </c>
      <c r="AF19" s="845">
        <f>J19*AK19%*('MEMÓRIA DE CÁLCULO'!G$7/'MEMÓRIA DE CÁLCULO'!G$6)</f>
        <v>0</v>
      </c>
      <c r="AG19" s="846"/>
      <c r="AH19" s="847"/>
      <c r="AI19" s="848">
        <f>J19*AK19%*('MEMÓRIA DE CÁLCULO'!G$8/'MEMÓRIA DE CÁLCULO'!G$6)</f>
        <v>0</v>
      </c>
      <c r="AJ19" s="828"/>
      <c r="AK19" s="222"/>
      <c r="AL19" s="122"/>
      <c r="AM19" s="301">
        <f>IF(REFF!$P$4=1,S19,0)</f>
        <v>40</v>
      </c>
      <c r="AN19" s="295">
        <f>IF(REFF!$P$4=2,S19+Y19,0)</f>
        <v>0</v>
      </c>
      <c r="AO19" s="295">
        <f>IF(REFF!$P$4=3,S19+Y19+AE19,0)</f>
        <v>0</v>
      </c>
      <c r="AP19" s="295">
        <f>IF(REFF!$P$4=4,S19+Y19+AE19+AK19,0)</f>
        <v>0</v>
      </c>
      <c r="AQ19" s="296">
        <f>SUM(AM19:AP19)</f>
        <v>40</v>
      </c>
    </row>
    <row r="20" spans="1:43" ht="13.5" customHeight="1">
      <c r="A20" s="756">
        <v>2</v>
      </c>
      <c r="B20" s="757"/>
      <c r="C20" s="791" t="str">
        <f>'PLANILHA '!E17</f>
        <v>PAVIMENTACÃO ASFALTICO</v>
      </c>
      <c r="D20" s="792"/>
      <c r="E20" s="792"/>
      <c r="F20" s="792"/>
      <c r="G20" s="792"/>
      <c r="H20" s="793"/>
      <c r="I20" s="223" t="e">
        <f>J20/J$31</f>
        <v>#REF!</v>
      </c>
      <c r="J20" s="824">
        <f>'PLANILHA '!P26</f>
        <v>101634.58222499999</v>
      </c>
      <c r="K20" s="825"/>
      <c r="L20" s="825"/>
      <c r="M20" s="826"/>
      <c r="N20" s="775">
        <f>$J20*S20%*('MEMÓRIA DE CÁLCULO'!G$7/'MEMÓRIA DE CÁLCULO'!G$6)</f>
        <v>7817.755974914281</v>
      </c>
      <c r="O20" s="776"/>
      <c r="P20" s="776"/>
      <c r="Q20" s="776">
        <f>J20*S20%*('MEMÓRIA DE CÁLCULO'!G$8/'MEMÓRIA DE CÁLCULO'!G$6)</f>
        <v>32836.076915085716</v>
      </c>
      <c r="R20" s="776"/>
      <c r="S20" s="224">
        <v>40</v>
      </c>
      <c r="T20" s="775">
        <f>$J20*Y20%*('MEMÓRIA DE CÁLCULO'!$G$7/'MEMÓRIA DE CÁLCULO'!$G$6)</f>
        <v>5863.316981185711</v>
      </c>
      <c r="U20" s="776"/>
      <c r="V20" s="776"/>
      <c r="W20" s="827">
        <f>J20*Y20%*('MEMÓRIA DE CÁLCULO'!G$8/'MEMÓRIA DE CÁLCULO'!G$6)</f>
        <v>24627.057686314285</v>
      </c>
      <c r="X20" s="823"/>
      <c r="Y20" s="224">
        <v>30</v>
      </c>
      <c r="Z20" s="821">
        <f>J20*AE20%*('MEMÓRIA DE CÁLCULO'!G$7/'MEMÓRIA DE CÁLCULO'!G$6)</f>
        <v>5863.316981185711</v>
      </c>
      <c r="AA20" s="822"/>
      <c r="AB20" s="823"/>
      <c r="AC20" s="827">
        <f>J20*AE20%*('MEMÓRIA DE CÁLCULO'!G$8/'MEMÓRIA DE CÁLCULO'!G$6)</f>
        <v>24627.057686314285</v>
      </c>
      <c r="AD20" s="823"/>
      <c r="AE20" s="225">
        <v>30</v>
      </c>
      <c r="AF20" s="821">
        <f>J20*AK20%*('MEMÓRIA DE CÁLCULO'!G$7/'MEMÓRIA DE CÁLCULO'!G$6)</f>
        <v>0</v>
      </c>
      <c r="AG20" s="822"/>
      <c r="AH20" s="823"/>
      <c r="AI20" s="850">
        <f>J20*AK20%*('MEMÓRIA DE CÁLCULO'!G$8/'MEMÓRIA DE CÁLCULO'!G$6)</f>
        <v>0</v>
      </c>
      <c r="AJ20" s="775"/>
      <c r="AK20" s="226"/>
      <c r="AL20" s="122"/>
      <c r="AM20" s="297">
        <f>IF(REFF!$P$4=1,S20,0)</f>
        <v>40</v>
      </c>
      <c r="AN20" s="297">
        <f>IF(REFF!$P$4=2,S20+Y20,0)</f>
        <v>0</v>
      </c>
      <c r="AO20" s="297">
        <f>IF(REFF!$P$4=3,S20+Y20+AE20,0)</f>
        <v>0</v>
      </c>
      <c r="AP20" s="297">
        <f>IF(REFF!$P$4=4,S20+Y20+AE20+AK20,0)</f>
        <v>0</v>
      </c>
      <c r="AQ20" s="298">
        <f>SUM(AM20:AP20)</f>
        <v>40</v>
      </c>
    </row>
    <row r="21" spans="1:43" ht="13.5" customHeight="1">
      <c r="A21" s="756">
        <v>3</v>
      </c>
      <c r="B21" s="757"/>
      <c r="C21" s="791" t="str">
        <f>'PLANILHA '!E35</f>
        <v>SINALIZAÇÃO </v>
      </c>
      <c r="D21" s="792"/>
      <c r="E21" s="792"/>
      <c r="F21" s="792"/>
      <c r="G21" s="792"/>
      <c r="H21" s="793"/>
      <c r="I21" s="223" t="e">
        <f>J21/J$31</f>
        <v>#REF!</v>
      </c>
      <c r="J21" s="753">
        <f>'PLANILHA '!P37</f>
        <v>55400.479199999994</v>
      </c>
      <c r="K21" s="754"/>
      <c r="L21" s="754"/>
      <c r="M21" s="755"/>
      <c r="N21" s="775">
        <f>$J21*S21%*('MEMÓRIA DE CÁLCULO'!G$7/'MEMÓRIA DE CÁLCULO'!G$6)</f>
        <v>0</v>
      </c>
      <c r="O21" s="776"/>
      <c r="P21" s="776"/>
      <c r="Q21" s="776">
        <f>J21*S21%*('MEMÓRIA DE CÁLCULO'!G$8/'MEMÓRIA DE CÁLCULO'!G$6)</f>
        <v>0</v>
      </c>
      <c r="R21" s="776"/>
      <c r="S21" s="224"/>
      <c r="T21" s="775">
        <f>$J21*Y21%*('MEMÓRIA DE CÁLCULO'!$G$7/'MEMÓRIA DE CÁLCULO'!$G$6)</f>
        <v>0</v>
      </c>
      <c r="U21" s="776"/>
      <c r="V21" s="776"/>
      <c r="W21" s="827">
        <f>J21*Y21%*('MEMÓRIA DE CÁLCULO'!G$8/'MEMÓRIA DE CÁLCULO'!G$6)</f>
        <v>0</v>
      </c>
      <c r="X21" s="823"/>
      <c r="Y21" s="224"/>
      <c r="Z21" s="821">
        <f>J21*AE21%*('MEMÓRIA DE CÁLCULO'!G$7/'MEMÓRIA DE CÁLCULO'!G$6)</f>
        <v>10653.544733427823</v>
      </c>
      <c r="AA21" s="822"/>
      <c r="AB21" s="823"/>
      <c r="AC21" s="827">
        <f>J21*AE21%*('MEMÓRIA DE CÁLCULO'!G$8/'MEMÓRIA DE CÁLCULO'!G$6)</f>
        <v>44746.93446657217</v>
      </c>
      <c r="AD21" s="823"/>
      <c r="AE21" s="225">
        <v>100</v>
      </c>
      <c r="AF21" s="821">
        <f>J21*AK21%*('MEMÓRIA DE CÁLCULO'!G$7/'MEMÓRIA DE CÁLCULO'!G$6)</f>
        <v>0</v>
      </c>
      <c r="AG21" s="822"/>
      <c r="AH21" s="823"/>
      <c r="AI21" s="850">
        <f>J21*AK21%*('MEMÓRIA DE CÁLCULO'!G$8/'MEMÓRIA DE CÁLCULO'!G$6)</f>
        <v>0</v>
      </c>
      <c r="AJ21" s="775"/>
      <c r="AK21" s="226"/>
      <c r="AL21" s="122"/>
      <c r="AM21" s="297">
        <f>IF(REFF!$P$4=1,S21,0)</f>
        <v>0</v>
      </c>
      <c r="AN21" s="297">
        <f>IF(REFF!$P$4=2,S21+Y21,0)</f>
        <v>0</v>
      </c>
      <c r="AO21" s="297">
        <f>IF(REFF!$P$4=3,S21+Y21+AE21,0)</f>
        <v>0</v>
      </c>
      <c r="AP21" s="297">
        <f>IF(REFF!$P$4=4,S21+Y21+AE21+AK21,0)</f>
        <v>0</v>
      </c>
      <c r="AQ21" s="298">
        <f>SUM(AM21:AP21)</f>
        <v>0</v>
      </c>
    </row>
    <row r="22" spans="1:43" ht="13.5" customHeight="1">
      <c r="A22" s="756">
        <v>3</v>
      </c>
      <c r="B22" s="757"/>
      <c r="C22" s="791" t="e">
        <f>IF(J22&gt;0,'PLANILHA '!E39,0)</f>
        <v>#REF!</v>
      </c>
      <c r="D22" s="792"/>
      <c r="E22" s="792"/>
      <c r="F22" s="792"/>
      <c r="G22" s="792"/>
      <c r="H22" s="793"/>
      <c r="I22" s="223" t="e">
        <f>J22/J$31</f>
        <v>#REF!</v>
      </c>
      <c r="J22" s="753" t="e">
        <f>'PLANILHA '!#REF!</f>
        <v>#REF!</v>
      </c>
      <c r="K22" s="754"/>
      <c r="L22" s="754"/>
      <c r="M22" s="755"/>
      <c r="N22" s="775" t="e">
        <f>$J22*S22%*('MEMÓRIA DE CÁLCULO'!G$7/'MEMÓRIA DE CÁLCULO'!G$6)</f>
        <v>#REF!</v>
      </c>
      <c r="O22" s="776"/>
      <c r="P22" s="776"/>
      <c r="Q22" s="776" t="e">
        <f>J22*S22%*('MEMÓRIA DE CÁLCULO'!G$8/'MEMÓRIA DE CÁLCULO'!G$6)</f>
        <v>#REF!</v>
      </c>
      <c r="R22" s="776"/>
      <c r="S22" s="224"/>
      <c r="T22" s="775" t="e">
        <f>$J22*Y22%*('MEMÓRIA DE CÁLCULO'!$G$7/'MEMÓRIA DE CÁLCULO'!$G$6)</f>
        <v>#REF!</v>
      </c>
      <c r="U22" s="776"/>
      <c r="V22" s="776"/>
      <c r="W22" s="827" t="e">
        <f>J22*Y22%*('MEMÓRIA DE CÁLCULO'!G$8/'MEMÓRIA DE CÁLCULO'!G$6)</f>
        <v>#REF!</v>
      </c>
      <c r="X22" s="823"/>
      <c r="Y22" s="224"/>
      <c r="Z22" s="821" t="e">
        <f>J22*AE22%*('MEMÓRIA DE CÁLCULO'!G$7/'MEMÓRIA DE CÁLCULO'!G$6)</f>
        <v>#REF!</v>
      </c>
      <c r="AA22" s="822"/>
      <c r="AB22" s="823"/>
      <c r="AC22" s="827" t="e">
        <f>J22*AE22%*('MEMÓRIA DE CÁLCULO'!G$8/'MEMÓRIA DE CÁLCULO'!G$6)</f>
        <v>#REF!</v>
      </c>
      <c r="AD22" s="823"/>
      <c r="AE22" s="225"/>
      <c r="AF22" s="821" t="e">
        <f>J22*AK22%*('MEMÓRIA DE CÁLCULO'!G$7/'MEMÓRIA DE CÁLCULO'!G$6)</f>
        <v>#REF!</v>
      </c>
      <c r="AG22" s="822"/>
      <c r="AH22" s="823"/>
      <c r="AI22" s="850" t="e">
        <f>J22*AK22%*('MEMÓRIA DE CÁLCULO'!G$8/'MEMÓRIA DE CÁLCULO'!G$6)</f>
        <v>#REF!</v>
      </c>
      <c r="AJ22" s="775"/>
      <c r="AK22" s="226">
        <v>0</v>
      </c>
      <c r="AL22" s="122"/>
      <c r="AM22" s="297">
        <f>IF(REFF!$P$4=1,S22,0)</f>
        <v>0</v>
      </c>
      <c r="AN22" s="297">
        <f>IF(REFF!$P$4=2,S22+Y22,0)</f>
        <v>0</v>
      </c>
      <c r="AO22" s="297">
        <f>IF(REFF!$P$4=3,S22+Y22+AE22,0)</f>
        <v>0</v>
      </c>
      <c r="AP22" s="297">
        <f>IF(REFF!$P$4=4,S22+Y22+AE22+AK22,0)</f>
        <v>0</v>
      </c>
      <c r="AQ22" s="298">
        <f>SUM(AM22:AP22)</f>
        <v>0</v>
      </c>
    </row>
    <row r="23" spans="1:43" ht="13.5" customHeight="1">
      <c r="A23" s="756">
        <v>5</v>
      </c>
      <c r="B23" s="757"/>
      <c r="C23" s="791"/>
      <c r="D23" s="792"/>
      <c r="E23" s="792"/>
      <c r="F23" s="792"/>
      <c r="G23" s="792"/>
      <c r="H23" s="793"/>
      <c r="I23" s="227"/>
      <c r="J23" s="753"/>
      <c r="K23" s="754"/>
      <c r="L23" s="754"/>
      <c r="M23" s="755"/>
      <c r="N23" s="775">
        <f>$J23*S23%*('MEMÓRIA DE CÁLCULO'!G$7/'MEMÓRIA DE CÁLCULO'!G$6)</f>
        <v>0</v>
      </c>
      <c r="O23" s="776"/>
      <c r="P23" s="776"/>
      <c r="Q23" s="776">
        <f>J23*S23%*('MEMÓRIA DE CÁLCULO'!G$8/'MEMÓRIA DE CÁLCULO'!G$6)</f>
        <v>0</v>
      </c>
      <c r="R23" s="776"/>
      <c r="S23" s="224"/>
      <c r="T23" s="775">
        <f>$J23*Y23%*('MEMÓRIA DE CÁLCULO'!$G$7/'MEMÓRIA DE CÁLCULO'!$G$6)</f>
        <v>0</v>
      </c>
      <c r="U23" s="776"/>
      <c r="V23" s="776"/>
      <c r="W23" s="827">
        <f>J23*Y23%*('MEMÓRIA DE CÁLCULO'!G$8/'MEMÓRIA DE CÁLCULO'!G$6)</f>
        <v>0</v>
      </c>
      <c r="X23" s="823"/>
      <c r="Y23" s="224"/>
      <c r="Z23" s="821">
        <f>J23*AE23%*('MEMÓRIA DE CÁLCULO'!G$7/'MEMÓRIA DE CÁLCULO'!G$6)</f>
        <v>0</v>
      </c>
      <c r="AA23" s="822"/>
      <c r="AB23" s="823"/>
      <c r="AC23" s="827">
        <f>J23*AE23%*('MEMÓRIA DE CÁLCULO'!G$8/'MEMÓRIA DE CÁLCULO'!G$6)</f>
        <v>0</v>
      </c>
      <c r="AD23" s="823"/>
      <c r="AE23" s="225"/>
      <c r="AF23" s="821">
        <f>J23*AK23%*('MEMÓRIA DE CÁLCULO'!G$7/'MEMÓRIA DE CÁLCULO'!G$6)</f>
        <v>0</v>
      </c>
      <c r="AG23" s="822"/>
      <c r="AH23" s="823"/>
      <c r="AI23" s="850">
        <f>J23*AK23%*('MEMÓRIA DE CÁLCULO'!G$8/'MEMÓRIA DE CÁLCULO'!G$6)</f>
        <v>0</v>
      </c>
      <c r="AJ23" s="775"/>
      <c r="AK23" s="226"/>
      <c r="AL23" s="122"/>
      <c r="AM23" s="299">
        <f>IF(REFF!$P$4=1,S23,0)</f>
        <v>0</v>
      </c>
      <c r="AN23" s="299">
        <f>IF(REFF!$P$4=2,S23+Y23,0)</f>
        <v>0</v>
      </c>
      <c r="AO23" s="299">
        <f>IF(REFF!$P$4=3,S23+Y23+AE23,0)</f>
        <v>0</v>
      </c>
      <c r="AP23" s="299">
        <f>IF(REFF!$P$4=4,S23+Y23+AE23+AK23,0)</f>
        <v>0</v>
      </c>
      <c r="AQ23" s="300">
        <f>SUM(AM23:AP23)</f>
        <v>0</v>
      </c>
    </row>
    <row r="24" spans="1:40" ht="13.5" customHeight="1">
      <c r="A24" s="756">
        <v>6</v>
      </c>
      <c r="B24" s="757"/>
      <c r="C24" s="791"/>
      <c r="D24" s="792"/>
      <c r="E24" s="792"/>
      <c r="F24" s="792"/>
      <c r="G24" s="792"/>
      <c r="H24" s="793"/>
      <c r="I24" s="227"/>
      <c r="J24" s="753"/>
      <c r="K24" s="754"/>
      <c r="L24" s="754"/>
      <c r="M24" s="755"/>
      <c r="N24" s="775">
        <f>$J24*S24%*('MEMÓRIA DE CÁLCULO'!G$7/'MEMÓRIA DE CÁLCULO'!G$6)</f>
        <v>0</v>
      </c>
      <c r="O24" s="776"/>
      <c r="P24" s="776"/>
      <c r="Q24" s="776">
        <f>J24*S24%*('MEMÓRIA DE CÁLCULO'!G$8/'MEMÓRIA DE CÁLCULO'!G$6)</f>
        <v>0</v>
      </c>
      <c r="R24" s="776"/>
      <c r="S24" s="224"/>
      <c r="T24" s="775">
        <f>$J24*Y24%*('MEMÓRIA DE CÁLCULO'!$G$7/'MEMÓRIA DE CÁLCULO'!$G$6)</f>
        <v>0</v>
      </c>
      <c r="U24" s="776"/>
      <c r="V24" s="776"/>
      <c r="W24" s="827">
        <f>J24*Y24%*('MEMÓRIA DE CÁLCULO'!G$8/'MEMÓRIA DE CÁLCULO'!G$6)</f>
        <v>0</v>
      </c>
      <c r="X24" s="823"/>
      <c r="Y24" s="224"/>
      <c r="Z24" s="821">
        <f>J24*AE24%*('MEMÓRIA DE CÁLCULO'!G$7/'MEMÓRIA DE CÁLCULO'!G$6)</f>
        <v>0</v>
      </c>
      <c r="AA24" s="822"/>
      <c r="AB24" s="823"/>
      <c r="AC24" s="827">
        <f>J24*AE24%*('MEMÓRIA DE CÁLCULO'!G$8/'MEMÓRIA DE CÁLCULO'!G$6)</f>
        <v>0</v>
      </c>
      <c r="AD24" s="823"/>
      <c r="AE24" s="225"/>
      <c r="AF24" s="821">
        <f>J24*AK24%*('MEMÓRIA DE CÁLCULO'!G$7/'MEMÓRIA DE CÁLCULO'!G$6)</f>
        <v>0</v>
      </c>
      <c r="AG24" s="822"/>
      <c r="AH24" s="823"/>
      <c r="AI24" s="850">
        <f>J24*AK24%*('MEMÓRIA DE CÁLCULO'!G$8/'MEMÓRIA DE CÁLCULO'!G$6)</f>
        <v>0</v>
      </c>
      <c r="AJ24" s="775"/>
      <c r="AK24" s="226"/>
      <c r="AL24" s="122"/>
      <c r="AM24" s="123"/>
      <c r="AN24" s="123"/>
    </row>
    <row r="25" spans="1:43" ht="13.5" customHeight="1">
      <c r="A25" s="756">
        <v>7</v>
      </c>
      <c r="B25" s="757"/>
      <c r="C25" s="893"/>
      <c r="D25" s="894"/>
      <c r="E25" s="894"/>
      <c r="F25" s="894"/>
      <c r="G25" s="894"/>
      <c r="H25" s="895"/>
      <c r="I25" s="227"/>
      <c r="J25" s="753"/>
      <c r="K25" s="754"/>
      <c r="L25" s="754"/>
      <c r="M25" s="755"/>
      <c r="N25" s="775">
        <f>$J25*S25%*('MEMÓRIA DE CÁLCULO'!G$7/'MEMÓRIA DE CÁLCULO'!G$6)</f>
        <v>0</v>
      </c>
      <c r="O25" s="776"/>
      <c r="P25" s="776"/>
      <c r="Q25" s="776">
        <f>J25*S25%*('MEMÓRIA DE CÁLCULO'!G$8/'MEMÓRIA DE CÁLCULO'!G$6)</f>
        <v>0</v>
      </c>
      <c r="R25" s="776"/>
      <c r="S25" s="224"/>
      <c r="T25" s="775">
        <f>$J25*Y25%*('MEMÓRIA DE CÁLCULO'!$G$7/'MEMÓRIA DE CÁLCULO'!$G$6)</f>
        <v>0</v>
      </c>
      <c r="U25" s="776"/>
      <c r="V25" s="776"/>
      <c r="W25" s="827">
        <f>J25*Y25%*('MEMÓRIA DE CÁLCULO'!G$8/'MEMÓRIA DE CÁLCULO'!G$6)</f>
        <v>0</v>
      </c>
      <c r="X25" s="823"/>
      <c r="Y25" s="224"/>
      <c r="Z25" s="821">
        <f>J25*AE25%*('MEMÓRIA DE CÁLCULO'!G$7/'MEMÓRIA DE CÁLCULO'!G$6)</f>
        <v>0</v>
      </c>
      <c r="AA25" s="822"/>
      <c r="AB25" s="823"/>
      <c r="AC25" s="827">
        <f>J25*AE25%*('MEMÓRIA DE CÁLCULO'!G$8/'MEMÓRIA DE CÁLCULO'!G$6)</f>
        <v>0</v>
      </c>
      <c r="AD25" s="823"/>
      <c r="AE25" s="225"/>
      <c r="AF25" s="821">
        <f>J25*AK25%*('MEMÓRIA DE CÁLCULO'!G$7/'MEMÓRIA DE CÁLCULO'!G$6)</f>
        <v>0</v>
      </c>
      <c r="AG25" s="822"/>
      <c r="AH25" s="823"/>
      <c r="AI25" s="850">
        <f>J25*AK25%*('MEMÓRIA DE CÁLCULO'!G$8/'MEMÓRIA DE CÁLCULO'!G$6)</f>
        <v>0</v>
      </c>
      <c r="AJ25" s="775"/>
      <c r="AK25" s="226"/>
      <c r="AL25" s="122"/>
      <c r="AM25" s="295">
        <f>IF(REFF!P$4=1,S19,0)</f>
        <v>40</v>
      </c>
      <c r="AN25" s="295">
        <f>IF(REFF!P$4=2,Y19,0)</f>
        <v>0</v>
      </c>
      <c r="AO25" s="295">
        <f>IF(REFF!P$4=3,AE19,0)</f>
        <v>0</v>
      </c>
      <c r="AP25" s="295">
        <f>IF(REFF!P$4=4,AK19,0)</f>
        <v>0</v>
      </c>
      <c r="AQ25" s="296">
        <f>SUM(AM25:AP25)</f>
        <v>40</v>
      </c>
    </row>
    <row r="26" spans="1:43" ht="12.75">
      <c r="A26" s="756">
        <v>8</v>
      </c>
      <c r="B26" s="757"/>
      <c r="C26" s="758"/>
      <c r="D26" s="759"/>
      <c r="E26" s="759"/>
      <c r="F26" s="759"/>
      <c r="G26" s="759"/>
      <c r="H26" s="760"/>
      <c r="I26" s="227"/>
      <c r="J26" s="753"/>
      <c r="K26" s="754"/>
      <c r="L26" s="754"/>
      <c r="M26" s="755"/>
      <c r="N26" s="775">
        <f>$J26*S26%*('MEMÓRIA DE CÁLCULO'!G$7/'MEMÓRIA DE CÁLCULO'!G$6)</f>
        <v>0</v>
      </c>
      <c r="O26" s="776"/>
      <c r="P26" s="776"/>
      <c r="Q26" s="776">
        <f>J26*S26%*('MEMÓRIA DE CÁLCULO'!G$8/'MEMÓRIA DE CÁLCULO'!G$6)</f>
        <v>0</v>
      </c>
      <c r="R26" s="776"/>
      <c r="S26" s="224"/>
      <c r="T26" s="775">
        <f>$J26*Y26%*('MEMÓRIA DE CÁLCULO'!$G$7/'MEMÓRIA DE CÁLCULO'!$G$6)</f>
        <v>0</v>
      </c>
      <c r="U26" s="776"/>
      <c r="V26" s="776"/>
      <c r="W26" s="827">
        <f>J26*Y26%*('MEMÓRIA DE CÁLCULO'!G$8/'MEMÓRIA DE CÁLCULO'!G$6)</f>
        <v>0</v>
      </c>
      <c r="X26" s="823"/>
      <c r="Y26" s="224"/>
      <c r="Z26" s="821">
        <f>J26*AE26%*('MEMÓRIA DE CÁLCULO'!G$7/'MEMÓRIA DE CÁLCULO'!G$6)</f>
        <v>0</v>
      </c>
      <c r="AA26" s="822"/>
      <c r="AB26" s="823"/>
      <c r="AC26" s="827">
        <f>J26*AE26%*('MEMÓRIA DE CÁLCULO'!G$8/'MEMÓRIA DE CÁLCULO'!G$6)</f>
        <v>0</v>
      </c>
      <c r="AD26" s="823"/>
      <c r="AE26" s="225"/>
      <c r="AF26" s="821">
        <f>J26*AK26%*('MEMÓRIA DE CÁLCULO'!G$7/'MEMÓRIA DE CÁLCULO'!G$6)</f>
        <v>0</v>
      </c>
      <c r="AG26" s="822"/>
      <c r="AH26" s="823"/>
      <c r="AI26" s="850">
        <f>J26*AK26%*('MEMÓRIA DE CÁLCULO'!G$8/'MEMÓRIA DE CÁLCULO'!G$6)</f>
        <v>0</v>
      </c>
      <c r="AJ26" s="775"/>
      <c r="AK26" s="226"/>
      <c r="AL26" s="122"/>
      <c r="AM26" s="297">
        <f>IF(REFF!P$4=1,S20,0)</f>
        <v>40</v>
      </c>
      <c r="AN26" s="297">
        <f>IF(REFF!P$4=2,Y20,0)</f>
        <v>0</v>
      </c>
      <c r="AO26" s="297">
        <f>IF(REFF!P$4=3,AE20,0)</f>
        <v>0</v>
      </c>
      <c r="AP26" s="297">
        <f>IF(REFF!P$4=4,AK20,0)</f>
        <v>0</v>
      </c>
      <c r="AQ26" s="298">
        <f>SUM(AM26:AP26)</f>
        <v>40</v>
      </c>
    </row>
    <row r="27" spans="1:43" ht="12.75">
      <c r="A27" s="756">
        <v>9</v>
      </c>
      <c r="B27" s="757"/>
      <c r="C27" s="758"/>
      <c r="D27" s="759"/>
      <c r="E27" s="759"/>
      <c r="F27" s="759"/>
      <c r="G27" s="759"/>
      <c r="H27" s="760"/>
      <c r="I27" s="227"/>
      <c r="J27" s="753"/>
      <c r="K27" s="754"/>
      <c r="L27" s="754"/>
      <c r="M27" s="755"/>
      <c r="N27" s="775">
        <f>$J27*S27%*('MEMÓRIA DE CÁLCULO'!G$7/'MEMÓRIA DE CÁLCULO'!G$6)</f>
        <v>0</v>
      </c>
      <c r="O27" s="776"/>
      <c r="P27" s="776"/>
      <c r="Q27" s="776">
        <f>J27*S27%*('MEMÓRIA DE CÁLCULO'!G$8/'MEMÓRIA DE CÁLCULO'!G$6)</f>
        <v>0</v>
      </c>
      <c r="R27" s="776"/>
      <c r="S27" s="224"/>
      <c r="T27" s="775">
        <f>$J27*Y27%*('MEMÓRIA DE CÁLCULO'!$G$7/'MEMÓRIA DE CÁLCULO'!$G$6)</f>
        <v>0</v>
      </c>
      <c r="U27" s="776"/>
      <c r="V27" s="776"/>
      <c r="W27" s="827">
        <f>J27*Y27%*('MEMÓRIA DE CÁLCULO'!G$8/'MEMÓRIA DE CÁLCULO'!G$6)</f>
        <v>0</v>
      </c>
      <c r="X27" s="823"/>
      <c r="Y27" s="224"/>
      <c r="Z27" s="821">
        <f>J27*AE27%*('MEMÓRIA DE CÁLCULO'!G$7/'MEMÓRIA DE CÁLCULO'!G$6)</f>
        <v>0</v>
      </c>
      <c r="AA27" s="822"/>
      <c r="AB27" s="823"/>
      <c r="AC27" s="827">
        <f>J27*AE27%*('MEMÓRIA DE CÁLCULO'!G$8/'MEMÓRIA DE CÁLCULO'!G$6)</f>
        <v>0</v>
      </c>
      <c r="AD27" s="823"/>
      <c r="AE27" s="225"/>
      <c r="AF27" s="821">
        <f>J27*AK27%*('MEMÓRIA DE CÁLCULO'!G$7/'MEMÓRIA DE CÁLCULO'!G$6)</f>
        <v>0</v>
      </c>
      <c r="AG27" s="822"/>
      <c r="AH27" s="823"/>
      <c r="AI27" s="850">
        <f>J27*AK27%*('MEMÓRIA DE CÁLCULO'!G$8/'MEMÓRIA DE CÁLCULO'!G$6)</f>
        <v>0</v>
      </c>
      <c r="AJ27" s="775"/>
      <c r="AK27" s="226"/>
      <c r="AL27" s="122"/>
      <c r="AM27" s="297">
        <f>IF(REFF!P$4=1,S21,0)</f>
        <v>0</v>
      </c>
      <c r="AN27" s="297">
        <f>IF(REFF!P$4=2,Y21,0)</f>
        <v>0</v>
      </c>
      <c r="AO27" s="297">
        <f>IF(REFF!P$4=3,AE21,0)</f>
        <v>0</v>
      </c>
      <c r="AP27" s="297">
        <f>IF(REFF!P$4=4,AK21,0)</f>
        <v>0</v>
      </c>
      <c r="AQ27" s="298">
        <f>SUM(AM27:AP27)</f>
        <v>0</v>
      </c>
    </row>
    <row r="28" spans="1:43" ht="12.75">
      <c r="A28" s="756">
        <v>10</v>
      </c>
      <c r="B28" s="757"/>
      <c r="C28" s="758"/>
      <c r="D28" s="759"/>
      <c r="E28" s="759"/>
      <c r="F28" s="759"/>
      <c r="G28" s="759"/>
      <c r="H28" s="760"/>
      <c r="I28" s="227"/>
      <c r="J28" s="753"/>
      <c r="K28" s="754"/>
      <c r="L28" s="754"/>
      <c r="M28" s="755"/>
      <c r="N28" s="775">
        <f>$J28*S28%*('MEMÓRIA DE CÁLCULO'!G$7/'MEMÓRIA DE CÁLCULO'!G$6)</f>
        <v>0</v>
      </c>
      <c r="O28" s="776"/>
      <c r="P28" s="776"/>
      <c r="Q28" s="776">
        <f>J28*S28%*('MEMÓRIA DE CÁLCULO'!G$8/'MEMÓRIA DE CÁLCULO'!G$6)</f>
        <v>0</v>
      </c>
      <c r="R28" s="776"/>
      <c r="S28" s="224"/>
      <c r="T28" s="775">
        <f>$J28*Y28%*('MEMÓRIA DE CÁLCULO'!$G$7/'MEMÓRIA DE CÁLCULO'!$G$6)</f>
        <v>0</v>
      </c>
      <c r="U28" s="776"/>
      <c r="V28" s="776"/>
      <c r="W28" s="827">
        <f>J28*Y28%*('MEMÓRIA DE CÁLCULO'!G$8/'MEMÓRIA DE CÁLCULO'!G$6)</f>
        <v>0</v>
      </c>
      <c r="X28" s="823"/>
      <c r="Y28" s="224"/>
      <c r="Z28" s="821">
        <f>J28*AE28%*('MEMÓRIA DE CÁLCULO'!G$7/'MEMÓRIA DE CÁLCULO'!G$6)</f>
        <v>0</v>
      </c>
      <c r="AA28" s="822"/>
      <c r="AB28" s="823"/>
      <c r="AC28" s="827">
        <f>J28*AE28%*('MEMÓRIA DE CÁLCULO'!G$8/'MEMÓRIA DE CÁLCULO'!G$6)</f>
        <v>0</v>
      </c>
      <c r="AD28" s="823"/>
      <c r="AE28" s="225"/>
      <c r="AF28" s="821">
        <f>J28*AK28%*('MEMÓRIA DE CÁLCULO'!G$7/'MEMÓRIA DE CÁLCULO'!G$6)</f>
        <v>0</v>
      </c>
      <c r="AG28" s="822"/>
      <c r="AH28" s="823"/>
      <c r="AI28" s="850">
        <f>J28*AK28%*('MEMÓRIA DE CÁLCULO'!G$8/'MEMÓRIA DE CÁLCULO'!G$6)</f>
        <v>0</v>
      </c>
      <c r="AJ28" s="775"/>
      <c r="AK28" s="226"/>
      <c r="AL28" s="122"/>
      <c r="AM28" s="297">
        <f>IF(REFF!P$4=1,S22,0)</f>
        <v>0</v>
      </c>
      <c r="AN28" s="297">
        <f>IF(REFF!P$4=2,Y22,0)</f>
        <v>0</v>
      </c>
      <c r="AO28" s="297">
        <f>IF(REFF!P$4=3,AE22,0)</f>
        <v>0</v>
      </c>
      <c r="AP28" s="297">
        <f>IF(REFF!P$4=4,AK22,0)</f>
        <v>0</v>
      </c>
      <c r="AQ28" s="298">
        <f>SUM(AM28:AP28)</f>
        <v>0</v>
      </c>
    </row>
    <row r="29" spans="1:43" ht="12.75">
      <c r="A29" s="756">
        <v>11</v>
      </c>
      <c r="B29" s="757"/>
      <c r="C29" s="855"/>
      <c r="D29" s="856"/>
      <c r="E29" s="856"/>
      <c r="F29" s="856"/>
      <c r="G29" s="856"/>
      <c r="H29" s="857"/>
      <c r="I29" s="227"/>
      <c r="J29" s="753"/>
      <c r="K29" s="754"/>
      <c r="L29" s="754"/>
      <c r="M29" s="755"/>
      <c r="N29" s="775">
        <f>$J29*S29%*('MEMÓRIA DE CÁLCULO'!G$7/'MEMÓRIA DE CÁLCULO'!G$6)</f>
        <v>0</v>
      </c>
      <c r="O29" s="776"/>
      <c r="P29" s="776"/>
      <c r="Q29" s="776">
        <f>J29*S29%*('MEMÓRIA DE CÁLCULO'!G$8/'MEMÓRIA DE CÁLCULO'!G$6)</f>
        <v>0</v>
      </c>
      <c r="R29" s="776"/>
      <c r="S29" s="224"/>
      <c r="T29" s="775">
        <f>$J29*Y29%*('MEMÓRIA DE CÁLCULO'!$G$7/'MEMÓRIA DE CÁLCULO'!$G$6)</f>
        <v>0</v>
      </c>
      <c r="U29" s="776"/>
      <c r="V29" s="776"/>
      <c r="W29" s="827">
        <f>J29*Y29%*('MEMÓRIA DE CÁLCULO'!G$8/'MEMÓRIA DE CÁLCULO'!G$6)</f>
        <v>0</v>
      </c>
      <c r="X29" s="823"/>
      <c r="Y29" s="224"/>
      <c r="Z29" s="821">
        <f>J29*AE29%*('MEMÓRIA DE CÁLCULO'!G$7/'MEMÓRIA DE CÁLCULO'!G$6)</f>
        <v>0</v>
      </c>
      <c r="AA29" s="822"/>
      <c r="AB29" s="823"/>
      <c r="AC29" s="827">
        <f>J29*AE29%*('MEMÓRIA DE CÁLCULO'!G$8/'MEMÓRIA DE CÁLCULO'!G$6)</f>
        <v>0</v>
      </c>
      <c r="AD29" s="823"/>
      <c r="AE29" s="225"/>
      <c r="AF29" s="821">
        <f>J29*AK29%*('MEMÓRIA DE CÁLCULO'!G$7/'MEMÓRIA DE CÁLCULO'!G$6)</f>
        <v>0</v>
      </c>
      <c r="AG29" s="822"/>
      <c r="AH29" s="823"/>
      <c r="AI29" s="850">
        <f>J29*AK29%*('MEMÓRIA DE CÁLCULO'!G$8/'MEMÓRIA DE CÁLCULO'!G$6)</f>
        <v>0</v>
      </c>
      <c r="AJ29" s="775"/>
      <c r="AK29" s="226"/>
      <c r="AL29" s="122"/>
      <c r="AM29" s="299">
        <f>IF(REFF!P$4=1,S23,0)</f>
        <v>0</v>
      </c>
      <c r="AN29" s="299">
        <f>IF(REFF!P$4=2,Y23,0)</f>
        <v>0</v>
      </c>
      <c r="AO29" s="299">
        <f>IF(REFF!P$4=3,AE23,0)</f>
        <v>0</v>
      </c>
      <c r="AP29" s="299">
        <f>IF(REFF!P$4=4,AK23,0)</f>
        <v>0</v>
      </c>
      <c r="AQ29" s="300">
        <f>SUM(AM29:AP29)</f>
        <v>0</v>
      </c>
    </row>
    <row r="30" spans="1:40" ht="13.5" thickBot="1">
      <c r="A30" s="853">
        <v>12</v>
      </c>
      <c r="B30" s="854"/>
      <c r="C30" s="796"/>
      <c r="D30" s="797"/>
      <c r="E30" s="797"/>
      <c r="F30" s="797"/>
      <c r="G30" s="797"/>
      <c r="H30" s="798"/>
      <c r="I30" s="231"/>
      <c r="J30" s="878"/>
      <c r="K30" s="879"/>
      <c r="L30" s="879"/>
      <c r="M30" s="880"/>
      <c r="N30" s="881">
        <f>$J30*S30%*('MEMÓRIA DE CÁLCULO'!G$7/'MEMÓRIA DE CÁLCULO'!G$6)</f>
        <v>0</v>
      </c>
      <c r="O30" s="882"/>
      <c r="P30" s="882"/>
      <c r="Q30" s="882">
        <f>J30*S30%*('MEMÓRIA DE CÁLCULO'!G$8/'MEMÓRIA DE CÁLCULO'!G$6)</f>
        <v>0</v>
      </c>
      <c r="R30" s="882"/>
      <c r="S30" s="232"/>
      <c r="T30" s="881">
        <f>$J30*Y30%*('MEMÓRIA DE CÁLCULO'!$G$7/'MEMÓRIA DE CÁLCULO'!$G$6)</f>
        <v>0</v>
      </c>
      <c r="U30" s="882"/>
      <c r="V30" s="882"/>
      <c r="W30" s="851">
        <f>J30*Y30%*('MEMÓRIA DE CÁLCULO'!G$8/'MEMÓRIA DE CÁLCULO'!G$6)</f>
        <v>0</v>
      </c>
      <c r="X30" s="852"/>
      <c r="Y30" s="232"/>
      <c r="Z30" s="884">
        <f>J30*AE30%*('MEMÓRIA DE CÁLCULO'!G$7/'MEMÓRIA DE CÁLCULO'!G$6)</f>
        <v>0</v>
      </c>
      <c r="AA30" s="885"/>
      <c r="AB30" s="852"/>
      <c r="AC30" s="851">
        <f>J30*AE30%*('MEMÓRIA DE CÁLCULO'!G$8/'MEMÓRIA DE CÁLCULO'!G$6)</f>
        <v>0</v>
      </c>
      <c r="AD30" s="852"/>
      <c r="AE30" s="233"/>
      <c r="AF30" s="884">
        <f>J30*AK30%*('MEMÓRIA DE CÁLCULO'!G$7/'MEMÓRIA DE CÁLCULO'!G$6)</f>
        <v>0</v>
      </c>
      <c r="AG30" s="885"/>
      <c r="AH30" s="852"/>
      <c r="AI30" s="883">
        <f>J30*AK30%*('MEMÓRIA DE CÁLCULO'!G$8/'MEMÓRIA DE CÁLCULO'!G$6)</f>
        <v>0</v>
      </c>
      <c r="AJ30" s="881"/>
      <c r="AK30" s="234"/>
      <c r="AL30" s="122"/>
      <c r="AM30" s="123"/>
      <c r="AN30" s="123"/>
    </row>
    <row r="31" spans="1:40" ht="12.75">
      <c r="A31" s="858" t="s">
        <v>35</v>
      </c>
      <c r="B31" s="859"/>
      <c r="C31" s="862" t="s">
        <v>36</v>
      </c>
      <c r="D31" s="863"/>
      <c r="E31" s="863"/>
      <c r="F31" s="863"/>
      <c r="G31" s="863"/>
      <c r="H31" s="864"/>
      <c r="I31" s="219" t="e">
        <f>SUM(I19:I30)</f>
        <v>#REF!</v>
      </c>
      <c r="J31" s="865" t="e">
        <f>SUM(J19:M30)</f>
        <v>#REF!</v>
      </c>
      <c r="K31" s="866"/>
      <c r="L31" s="866"/>
      <c r="M31" s="867"/>
      <c r="N31" s="868" t="e">
        <f>SUM(N19:P30)</f>
        <v>#REF!</v>
      </c>
      <c r="O31" s="869"/>
      <c r="P31" s="869"/>
      <c r="Q31" s="886" t="e">
        <f>SUM(Q19:R30)</f>
        <v>#REF!</v>
      </c>
      <c r="R31" s="869"/>
      <c r="S31" s="235" t="e">
        <f>(N31+Q31)/J32</f>
        <v>#REF!</v>
      </c>
      <c r="T31" s="887" t="e">
        <f>SUM(T19:V30)</f>
        <v>#REF!</v>
      </c>
      <c r="U31" s="829"/>
      <c r="V31" s="829"/>
      <c r="W31" s="829" t="e">
        <f>SUM(W19:X30)</f>
        <v>#REF!</v>
      </c>
      <c r="X31" s="829"/>
      <c r="Y31" s="235" t="e">
        <f>(T31+W31)/J$32</f>
        <v>#REF!</v>
      </c>
      <c r="Z31" s="887" t="e">
        <f>SUM(Z19:AB30)</f>
        <v>#REF!</v>
      </c>
      <c r="AA31" s="829"/>
      <c r="AB31" s="829"/>
      <c r="AC31" s="829" t="e">
        <f>SUM(AC19:AD30)</f>
        <v>#REF!</v>
      </c>
      <c r="AD31" s="829"/>
      <c r="AE31" s="235" t="e">
        <f>(Z31+AC31)/J$32</f>
        <v>#REF!</v>
      </c>
      <c r="AF31" s="887" t="e">
        <f>SUM(AF19:AH30)</f>
        <v>#REF!</v>
      </c>
      <c r="AG31" s="829"/>
      <c r="AH31" s="829"/>
      <c r="AI31" s="829" t="e">
        <f>SUM(AI19:AJ30)</f>
        <v>#REF!</v>
      </c>
      <c r="AJ31" s="829"/>
      <c r="AK31" s="235" t="e">
        <f>(AF31+AI31)/J32</f>
        <v>#REF!</v>
      </c>
      <c r="AL31" s="122"/>
      <c r="AM31" s="123"/>
      <c r="AN31" s="123"/>
    </row>
    <row r="32" spans="1:40" ht="13.5" thickBot="1">
      <c r="A32" s="860"/>
      <c r="B32" s="861"/>
      <c r="C32" s="870" t="s">
        <v>37</v>
      </c>
      <c r="D32" s="871"/>
      <c r="E32" s="871"/>
      <c r="F32" s="871"/>
      <c r="G32" s="871"/>
      <c r="H32" s="872"/>
      <c r="I32" s="228"/>
      <c r="J32" s="873" t="e">
        <f>J31</f>
        <v>#REF!</v>
      </c>
      <c r="K32" s="874"/>
      <c r="L32" s="874"/>
      <c r="M32" s="875"/>
      <c r="N32" s="876" t="e">
        <f>N31</f>
        <v>#REF!</v>
      </c>
      <c r="O32" s="877"/>
      <c r="P32" s="877"/>
      <c r="Q32" s="890" t="e">
        <f>N32+Q31</f>
        <v>#REF!</v>
      </c>
      <c r="R32" s="877"/>
      <c r="S32" s="229" t="e">
        <f>S31</f>
        <v>#REF!</v>
      </c>
      <c r="T32" s="889" t="e">
        <f>IF((T31+W31)&gt;0,Q32+T31,0)</f>
        <v>#REF!</v>
      </c>
      <c r="U32" s="888"/>
      <c r="V32" s="888"/>
      <c r="W32" s="888" t="e">
        <f>IF((T31+W31)&gt;0,T32+W31,0)</f>
        <v>#REF!</v>
      </c>
      <c r="X32" s="888"/>
      <c r="Y32" s="229" t="e">
        <f>IF(S32=100,S32+Y31,0)</f>
        <v>#REF!</v>
      </c>
      <c r="Z32" s="889" t="e">
        <f>IF((Z31+AC31)&gt;0,W32+Z31,0)</f>
        <v>#REF!</v>
      </c>
      <c r="AA32" s="888"/>
      <c r="AB32" s="888"/>
      <c r="AC32" s="888" t="e">
        <f>IF((Z31+AC31)&gt;0,Z32+AC31,0)</f>
        <v>#REF!</v>
      </c>
      <c r="AD32" s="888"/>
      <c r="AE32" s="229" t="e">
        <f>IF(Y32=100%,AE31+Y32,0)</f>
        <v>#REF!</v>
      </c>
      <c r="AF32" s="889" t="e">
        <f>IF((AF31+AI31)&gt;0,AC32+AF31,0)</f>
        <v>#REF!</v>
      </c>
      <c r="AG32" s="888"/>
      <c r="AH32" s="888"/>
      <c r="AI32" s="888" t="e">
        <f>IF((AF31+AI31&gt;0),AF32+AI31,0)</f>
        <v>#REF!</v>
      </c>
      <c r="AJ32" s="888"/>
      <c r="AK32" s="230" t="e">
        <f>IF(AE32=100%,AE32+AK31,0)</f>
        <v>#REF!</v>
      </c>
      <c r="AL32" s="122"/>
      <c r="AM32" s="123"/>
      <c r="AN32" s="123"/>
    </row>
    <row r="33" spans="1:40" ht="12.75">
      <c r="A33" s="154"/>
      <c r="B33" s="155"/>
      <c r="C33" s="156"/>
      <c r="D33" s="156"/>
      <c r="E33" s="156"/>
      <c r="F33" s="156"/>
      <c r="G33" s="156"/>
      <c r="H33" s="156"/>
      <c r="I33" s="157"/>
      <c r="J33" s="158"/>
      <c r="K33" s="158"/>
      <c r="L33" s="158"/>
      <c r="M33" s="158"/>
      <c r="N33" s="159"/>
      <c r="O33" s="160"/>
      <c r="P33" s="160"/>
      <c r="Q33" s="159"/>
      <c r="R33" s="160"/>
      <c r="S33" s="170"/>
      <c r="T33" s="173"/>
      <c r="U33" s="173"/>
      <c r="V33" s="173"/>
      <c r="W33" s="173"/>
      <c r="X33" s="173"/>
      <c r="Y33" s="170"/>
      <c r="Z33" s="173"/>
      <c r="AA33" s="173"/>
      <c r="AB33" s="173"/>
      <c r="AC33" s="173"/>
      <c r="AD33" s="173"/>
      <c r="AE33" s="170"/>
      <c r="AF33" s="173"/>
      <c r="AG33" s="173"/>
      <c r="AH33" s="173"/>
      <c r="AI33" s="173"/>
      <c r="AJ33" s="173"/>
      <c r="AK33" s="177"/>
      <c r="AL33" s="122"/>
      <c r="AM33" s="123"/>
      <c r="AN33" s="123"/>
    </row>
    <row r="34" spans="1:43" s="124" customFormat="1" ht="13.5">
      <c r="A34" s="161" t="s">
        <v>62</v>
      </c>
      <c r="B34" s="16"/>
      <c r="C34" s="162"/>
      <c r="D34" s="162"/>
      <c r="E34" s="162"/>
      <c r="F34" s="162"/>
      <c r="G34" s="162"/>
      <c r="H34" s="16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5"/>
      <c r="AF34" s="16"/>
      <c r="AG34" s="16"/>
      <c r="AH34" s="16"/>
      <c r="AI34" s="16"/>
      <c r="AJ34" s="16"/>
      <c r="AK34" s="178"/>
      <c r="AM34" s="123"/>
      <c r="AN34" s="123"/>
      <c r="AO34" s="32"/>
      <c r="AP34" s="32"/>
      <c r="AQ34" s="32"/>
    </row>
    <row r="35" spans="1:43" s="125" customFormat="1" ht="12.75">
      <c r="A35" s="161"/>
      <c r="B35" s="16"/>
      <c r="C35" s="162"/>
      <c r="D35" s="162"/>
      <c r="E35" s="162"/>
      <c r="F35" s="162"/>
      <c r="G35" s="162"/>
      <c r="H35" s="16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5"/>
      <c r="AF35" s="16"/>
      <c r="AG35" s="16"/>
      <c r="AH35" s="16"/>
      <c r="AI35" s="16"/>
      <c r="AJ35" s="16"/>
      <c r="AK35" s="178"/>
      <c r="AM35" s="123"/>
      <c r="AN35" s="123"/>
      <c r="AO35" s="32"/>
      <c r="AP35" s="32"/>
      <c r="AQ35" s="32"/>
    </row>
    <row r="36" spans="1:37" s="125" customFormat="1" ht="12.75">
      <c r="A36" s="163"/>
      <c r="B36" s="164"/>
      <c r="C36" s="164"/>
      <c r="D36" s="164"/>
      <c r="E36" s="164"/>
      <c r="F36" s="164"/>
      <c r="G36" s="162"/>
      <c r="H36" s="16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5"/>
      <c r="AF36" s="16"/>
      <c r="AG36" s="16"/>
      <c r="AH36" s="16"/>
      <c r="AI36" s="16"/>
      <c r="AJ36" s="16"/>
      <c r="AK36" s="178"/>
    </row>
    <row r="37" spans="1:37" s="125" customFormat="1" ht="12.75">
      <c r="A37" s="163"/>
      <c r="B37" s="164"/>
      <c r="C37" s="164"/>
      <c r="D37" s="164"/>
      <c r="E37" s="164"/>
      <c r="F37" s="164"/>
      <c r="G37" s="162"/>
      <c r="H37" s="162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5"/>
      <c r="AF37" s="16"/>
      <c r="AG37" s="16"/>
      <c r="AH37" s="16"/>
      <c r="AI37" s="16"/>
      <c r="AJ37" s="16"/>
      <c r="AK37" s="178"/>
    </row>
    <row r="38" spans="1:37" s="125" customFormat="1" ht="12.75">
      <c r="A38" s="773">
        <f>'MEMÓRIA DE CÁLCULO'!G2</f>
        <v>40255</v>
      </c>
      <c r="B38" s="774"/>
      <c r="C38" s="774"/>
      <c r="D38" s="774"/>
      <c r="E38" s="774"/>
      <c r="F38" s="774"/>
      <c r="G38" s="162"/>
      <c r="H38" s="165"/>
      <c r="I38" s="166"/>
      <c r="J38" s="166"/>
      <c r="K38" s="166"/>
      <c r="L38" s="166"/>
      <c r="M38" s="166"/>
      <c r="N38" s="16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6"/>
      <c r="AA38" s="166"/>
      <c r="AB38" s="166"/>
      <c r="AC38" s="166"/>
      <c r="AD38" s="166"/>
      <c r="AE38" s="176"/>
      <c r="AF38" s="166"/>
      <c r="AG38" s="166"/>
      <c r="AH38" s="16"/>
      <c r="AI38" s="16"/>
      <c r="AJ38" s="16"/>
      <c r="AK38" s="178"/>
    </row>
    <row r="39" spans="1:43" s="123" customFormat="1" ht="12.75">
      <c r="A39" s="803" t="s">
        <v>13</v>
      </c>
      <c r="B39" s="804"/>
      <c r="C39" s="804"/>
      <c r="D39" s="804"/>
      <c r="E39" s="804"/>
      <c r="F39" s="804"/>
      <c r="G39" s="137"/>
      <c r="H39" s="799" t="str">
        <f>'PLANILHA '!E49</f>
        <v>RESPONSÁVEL TÉCNICO</v>
      </c>
      <c r="I39" s="800"/>
      <c r="J39" s="800"/>
      <c r="K39" s="800"/>
      <c r="L39" s="800"/>
      <c r="M39" s="800"/>
      <c r="N39" s="800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910">
        <f>'PLANILHA '!H49</f>
        <v>0</v>
      </c>
      <c r="AA39" s="911"/>
      <c r="AB39" s="911"/>
      <c r="AC39" s="911"/>
      <c r="AD39" s="911"/>
      <c r="AE39" s="912" t="str">
        <f>'MEMÓRIA DE CÁLCULO'!B1</f>
        <v>UBIRAJARA</v>
      </c>
      <c r="AF39" s="913"/>
      <c r="AG39" s="913"/>
      <c r="AH39" s="913"/>
      <c r="AI39" s="157"/>
      <c r="AJ39" s="157"/>
      <c r="AK39" s="304"/>
      <c r="AM39" s="305"/>
      <c r="AN39" s="305"/>
      <c r="AO39" s="305"/>
      <c r="AP39" s="305"/>
      <c r="AQ39" s="305"/>
    </row>
    <row r="40" spans="1:43" ht="13.5">
      <c r="A40" s="794"/>
      <c r="B40" s="795"/>
      <c r="C40" s="795"/>
      <c r="D40" s="795"/>
      <c r="E40" s="795"/>
      <c r="F40" s="795"/>
      <c r="G40" s="137"/>
      <c r="H40" s="801" t="str">
        <f>'PLANILHA '!E50</f>
        <v>ENGº    AGOSTINHO DE BARROS TENDOLO</v>
      </c>
      <c r="I40" s="802"/>
      <c r="J40" s="802"/>
      <c r="K40" s="802"/>
      <c r="L40" s="802"/>
      <c r="M40" s="802"/>
      <c r="N40" s="802"/>
      <c r="O40" s="142"/>
      <c r="P40" s="142"/>
      <c r="Q40" s="142"/>
      <c r="R40" s="142"/>
      <c r="S40" s="142"/>
      <c r="T40" s="142"/>
      <c r="U40" s="142"/>
      <c r="V40" s="142"/>
      <c r="W40" s="136"/>
      <c r="X40" s="136"/>
      <c r="Y40" s="136"/>
      <c r="Z40" s="914">
        <f>'PLANILHA '!H50</f>
        <v>0</v>
      </c>
      <c r="AA40" s="802"/>
      <c r="AB40" s="802"/>
      <c r="AC40" s="802"/>
      <c r="AD40" s="802"/>
      <c r="AE40" s="802"/>
      <c r="AF40" s="802"/>
      <c r="AG40" s="802"/>
      <c r="AH40" s="157"/>
      <c r="AI40" s="136"/>
      <c r="AJ40" s="136"/>
      <c r="AK40" s="139"/>
      <c r="AM40" s="125"/>
      <c r="AN40" s="125"/>
      <c r="AO40" s="125"/>
      <c r="AP40" s="125"/>
      <c r="AQ40" s="125"/>
    </row>
    <row r="41" spans="1:37" ht="14.25" customHeight="1">
      <c r="A41" s="805"/>
      <c r="B41" s="806"/>
      <c r="C41" s="806"/>
      <c r="D41" s="806"/>
      <c r="E41" s="806"/>
      <c r="F41" s="806"/>
      <c r="G41" s="168"/>
      <c r="H41" s="906" t="str">
        <f>'PLANILHA '!E51</f>
        <v>CREA Nº. 0600542176</v>
      </c>
      <c r="I41" s="907"/>
      <c r="J41" s="907"/>
      <c r="K41" s="907"/>
      <c r="L41" s="907"/>
      <c r="M41" s="907"/>
      <c r="N41" s="907"/>
      <c r="O41" s="169"/>
      <c r="P41" s="169"/>
      <c r="Q41" s="169"/>
      <c r="R41" s="169"/>
      <c r="S41" s="169"/>
      <c r="T41" s="169"/>
      <c r="U41" s="169"/>
      <c r="V41" s="169"/>
      <c r="W41" s="171"/>
      <c r="X41" s="171"/>
      <c r="Y41" s="171"/>
      <c r="Z41" s="908" t="str">
        <f>'PLANILHA '!H51</f>
        <v> PREFEITURA  MUNCIPAL   DE   AGUDOS</v>
      </c>
      <c r="AA41" s="907"/>
      <c r="AB41" s="907"/>
      <c r="AC41" s="907"/>
      <c r="AD41" s="907"/>
      <c r="AE41" s="907"/>
      <c r="AF41" s="907"/>
      <c r="AG41" s="909"/>
      <c r="AH41" s="306"/>
      <c r="AI41" s="174"/>
      <c r="AJ41" s="174"/>
      <c r="AK41" s="179"/>
    </row>
    <row r="42" spans="1:43" s="118" customFormat="1" ht="14.25" customHeight="1">
      <c r="A42" s="812"/>
      <c r="B42" s="812"/>
      <c r="C42" s="812"/>
      <c r="D42" s="812"/>
      <c r="E42" s="812"/>
      <c r="F42" s="812"/>
      <c r="G42" s="126"/>
      <c r="H42" s="126"/>
      <c r="I42" s="121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AA42" s="121"/>
      <c r="AB42" s="121"/>
      <c r="AC42" s="121"/>
      <c r="AD42" s="121"/>
      <c r="AE42" s="127"/>
      <c r="AF42" s="121"/>
      <c r="AG42" s="121"/>
      <c r="AH42" s="121"/>
      <c r="AI42" s="121"/>
      <c r="AJ42" s="121"/>
      <c r="AK42" s="121"/>
      <c r="AM42" s="32"/>
      <c r="AN42" s="32"/>
      <c r="AO42" s="32"/>
      <c r="AP42" s="32"/>
      <c r="AQ42" s="32"/>
    </row>
    <row r="43" spans="3:43" s="118" customFormat="1" ht="12.75">
      <c r="C43" s="119"/>
      <c r="D43" s="119"/>
      <c r="E43" s="119"/>
      <c r="F43" s="119"/>
      <c r="G43" s="119"/>
      <c r="H43" s="119"/>
      <c r="AE43" s="120"/>
      <c r="AM43" s="32"/>
      <c r="AN43" s="32"/>
      <c r="AO43" s="32"/>
      <c r="AP43" s="32"/>
      <c r="AQ43" s="32"/>
    </row>
    <row r="44" spans="3:31" s="118" customFormat="1" ht="12.75">
      <c r="C44" s="119"/>
      <c r="D44" s="119"/>
      <c r="E44" s="119"/>
      <c r="F44" s="119"/>
      <c r="G44" s="119"/>
      <c r="H44" s="119"/>
      <c r="AE44" s="120"/>
    </row>
    <row r="45" spans="39:43" ht="12.75">
      <c r="AM45" s="118"/>
      <c r="AN45" s="118"/>
      <c r="AO45" s="118"/>
      <c r="AP45" s="118"/>
      <c r="AQ45" s="118"/>
    </row>
    <row r="46" spans="39:43" ht="12.75">
      <c r="AM46" s="118"/>
      <c r="AN46" s="118"/>
      <c r="AO46" s="118"/>
      <c r="AP46" s="118"/>
      <c r="AQ46" s="118"/>
    </row>
  </sheetData>
  <sheetProtection password="DDEF" sheet="1"/>
  <mergeCells count="196">
    <mergeCell ref="H41:N41"/>
    <mergeCell ref="Z41:AG41"/>
    <mergeCell ref="Z39:AD39"/>
    <mergeCell ref="AE39:AH39"/>
    <mergeCell ref="Z40:AG40"/>
    <mergeCell ref="T22:V22"/>
    <mergeCell ref="Q25:R25"/>
    <mergeCell ref="T25:V25"/>
    <mergeCell ref="Q23:R23"/>
    <mergeCell ref="T23:V23"/>
    <mergeCell ref="C24:H24"/>
    <mergeCell ref="C25:H25"/>
    <mergeCell ref="J24:M24"/>
    <mergeCell ref="N24:P24"/>
    <mergeCell ref="Q24:R24"/>
    <mergeCell ref="Q14:R14"/>
    <mergeCell ref="Q21:R21"/>
    <mergeCell ref="A15:AK15"/>
    <mergeCell ref="C17:H18"/>
    <mergeCell ref="J17:M17"/>
    <mergeCell ref="N17:S17"/>
    <mergeCell ref="T21:V21"/>
    <mergeCell ref="AI20:AJ20"/>
    <mergeCell ref="J19:M19"/>
    <mergeCell ref="N19:P19"/>
    <mergeCell ref="AF31:AH31"/>
    <mergeCell ref="T30:V30"/>
    <mergeCell ref="W30:X30"/>
    <mergeCell ref="Q30:R30"/>
    <mergeCell ref="AF30:AH30"/>
    <mergeCell ref="W32:X32"/>
    <mergeCell ref="Z32:AB32"/>
    <mergeCell ref="Q32:R32"/>
    <mergeCell ref="AC32:AD32"/>
    <mergeCell ref="AF32:AH32"/>
    <mergeCell ref="AI32:AJ32"/>
    <mergeCell ref="T32:V32"/>
    <mergeCell ref="AC31:AD31"/>
    <mergeCell ref="J30:M30"/>
    <mergeCell ref="N30:P30"/>
    <mergeCell ref="AI30:AJ30"/>
    <mergeCell ref="Z30:AB30"/>
    <mergeCell ref="Q31:R31"/>
    <mergeCell ref="T31:V31"/>
    <mergeCell ref="W31:X31"/>
    <mergeCell ref="AI31:AJ31"/>
    <mergeCell ref="Z31:AB31"/>
    <mergeCell ref="A31:B32"/>
    <mergeCell ref="C31:H31"/>
    <mergeCell ref="J31:M31"/>
    <mergeCell ref="N31:P31"/>
    <mergeCell ref="C32:H32"/>
    <mergeCell ref="J32:M32"/>
    <mergeCell ref="N32:P32"/>
    <mergeCell ref="AC29:AD29"/>
    <mergeCell ref="AF29:AH29"/>
    <mergeCell ref="AI29:AJ29"/>
    <mergeCell ref="AC30:AD30"/>
    <mergeCell ref="A30:B30"/>
    <mergeCell ref="A29:B29"/>
    <mergeCell ref="C29:H29"/>
    <mergeCell ref="J29:M29"/>
    <mergeCell ref="N29:P29"/>
    <mergeCell ref="Q28:R28"/>
    <mergeCell ref="T28:V28"/>
    <mergeCell ref="Z28:AB28"/>
    <mergeCell ref="Q29:R29"/>
    <mergeCell ref="T29:V29"/>
    <mergeCell ref="W29:X29"/>
    <mergeCell ref="Z29:AB29"/>
    <mergeCell ref="W28:X28"/>
    <mergeCell ref="A28:B28"/>
    <mergeCell ref="C28:H28"/>
    <mergeCell ref="J28:M28"/>
    <mergeCell ref="N28:P28"/>
    <mergeCell ref="A27:B27"/>
    <mergeCell ref="C27:H27"/>
    <mergeCell ref="AF28:AH28"/>
    <mergeCell ref="AI28:AJ28"/>
    <mergeCell ref="AC27:AD27"/>
    <mergeCell ref="AF27:AH27"/>
    <mergeCell ref="AC28:AD28"/>
    <mergeCell ref="AI27:AJ27"/>
    <mergeCell ref="W27:X27"/>
    <mergeCell ref="Z27:AB27"/>
    <mergeCell ref="N26:P26"/>
    <mergeCell ref="Z26:AB26"/>
    <mergeCell ref="Q27:R27"/>
    <mergeCell ref="T27:V27"/>
    <mergeCell ref="Q26:R26"/>
    <mergeCell ref="T26:V26"/>
    <mergeCell ref="N27:P27"/>
    <mergeCell ref="AI24:AJ24"/>
    <mergeCell ref="AC23:AD23"/>
    <mergeCell ref="AF23:AH23"/>
    <mergeCell ref="AI23:AJ23"/>
    <mergeCell ref="AC24:AD24"/>
    <mergeCell ref="W25:X25"/>
    <mergeCell ref="AI25:AJ25"/>
    <mergeCell ref="Z24:AB24"/>
    <mergeCell ref="W23:X23"/>
    <mergeCell ref="AF24:AH24"/>
    <mergeCell ref="AI26:AJ26"/>
    <mergeCell ref="AC25:AD25"/>
    <mergeCell ref="W26:X26"/>
    <mergeCell ref="AC26:AD26"/>
    <mergeCell ref="AF26:AH26"/>
    <mergeCell ref="AF25:AH25"/>
    <mergeCell ref="Z25:AB25"/>
    <mergeCell ref="T24:V24"/>
    <mergeCell ref="W24:X24"/>
    <mergeCell ref="Z23:AB23"/>
    <mergeCell ref="A22:B22"/>
    <mergeCell ref="J22:M22"/>
    <mergeCell ref="N22:P22"/>
    <mergeCell ref="Q22:R22"/>
    <mergeCell ref="W22:X22"/>
    <mergeCell ref="J23:M23"/>
    <mergeCell ref="N23:P23"/>
    <mergeCell ref="AI22:AJ22"/>
    <mergeCell ref="W21:X21"/>
    <mergeCell ref="Z21:AB21"/>
    <mergeCell ref="AC21:AD21"/>
    <mergeCell ref="AF21:AH21"/>
    <mergeCell ref="AI21:AJ21"/>
    <mergeCell ref="AC22:AD22"/>
    <mergeCell ref="AF22:AH22"/>
    <mergeCell ref="Z22:AB22"/>
    <mergeCell ref="AF19:AH19"/>
    <mergeCell ref="AI19:AJ19"/>
    <mergeCell ref="AC19:AD19"/>
    <mergeCell ref="N20:P20"/>
    <mergeCell ref="Z19:AB19"/>
    <mergeCell ref="W19:X19"/>
    <mergeCell ref="Q20:R20"/>
    <mergeCell ref="T20:V20"/>
    <mergeCell ref="B6:C6"/>
    <mergeCell ref="H6:O6"/>
    <mergeCell ref="AH9:AK9"/>
    <mergeCell ref="Q9:Z9"/>
    <mergeCell ref="AC20:AD20"/>
    <mergeCell ref="AF20:AH20"/>
    <mergeCell ref="J9:P9"/>
    <mergeCell ref="AB9:AF9"/>
    <mergeCell ref="AC18:AD18"/>
    <mergeCell ref="Q19:R19"/>
    <mergeCell ref="AF18:AH18"/>
    <mergeCell ref="Z17:AE17"/>
    <mergeCell ref="AF17:AK17"/>
    <mergeCell ref="Z20:AB20"/>
    <mergeCell ref="J20:M20"/>
    <mergeCell ref="J42:V42"/>
    <mergeCell ref="AI18:AJ18"/>
    <mergeCell ref="T18:V18"/>
    <mergeCell ref="W20:X20"/>
    <mergeCell ref="T19:V19"/>
    <mergeCell ref="A41:F41"/>
    <mergeCell ref="J18:M18"/>
    <mergeCell ref="N18:P18"/>
    <mergeCell ref="Q18:R18"/>
    <mergeCell ref="A42:F42"/>
    <mergeCell ref="A19:B19"/>
    <mergeCell ref="C20:H20"/>
    <mergeCell ref="N25:P25"/>
    <mergeCell ref="A17:B18"/>
    <mergeCell ref="C23:H23"/>
    <mergeCell ref="A21:B21"/>
    <mergeCell ref="A20:B20"/>
    <mergeCell ref="C21:H21"/>
    <mergeCell ref="C22:H22"/>
    <mergeCell ref="A40:F40"/>
    <mergeCell ref="C30:H30"/>
    <mergeCell ref="H39:N39"/>
    <mergeCell ref="H40:N40"/>
    <mergeCell ref="A39:F39"/>
    <mergeCell ref="J27:M27"/>
    <mergeCell ref="A38:F38"/>
    <mergeCell ref="J21:M21"/>
    <mergeCell ref="N21:P21"/>
    <mergeCell ref="A24:B24"/>
    <mergeCell ref="AA5:AK5"/>
    <mergeCell ref="AA6:AK6"/>
    <mergeCell ref="Q6:Y6"/>
    <mergeCell ref="Q5:Y5"/>
    <mergeCell ref="C19:H19"/>
    <mergeCell ref="A25:B25"/>
    <mergeCell ref="J25:M25"/>
    <mergeCell ref="A26:B26"/>
    <mergeCell ref="C26:H26"/>
    <mergeCell ref="J26:M26"/>
    <mergeCell ref="A9:H9"/>
    <mergeCell ref="A12:AK12"/>
    <mergeCell ref="T17:Y17"/>
    <mergeCell ref="W18:X18"/>
    <mergeCell ref="Z18:AB18"/>
    <mergeCell ref="A23:B23"/>
  </mergeCells>
  <printOptions horizontalCentered="1" verticalCentered="1"/>
  <pageMargins left="0.64" right="0.39" top="0.984251968503937" bottom="0.984251968503937" header="0.5118110236220472" footer="0.5118110236220472"/>
  <pageSetup horizontalDpi="300" verticalDpi="300" orientation="landscape" paperSize="9" scale="70" r:id="rId1"/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showZeros="0" view="pageBreakPreview" zoomScaleSheetLayoutView="100" zoomScalePageLayoutView="0" workbookViewId="0" topLeftCell="A16">
      <selection activeCell="B56" sqref="B56:C56"/>
    </sheetView>
  </sheetViews>
  <sheetFormatPr defaultColWidth="9.140625" defaultRowHeight="12.75"/>
  <cols>
    <col min="1" max="1" width="5.7109375" style="33" customWidth="1"/>
    <col min="2" max="2" width="28.7109375" style="31" customWidth="1"/>
    <col min="3" max="3" width="10.7109375" style="31" customWidth="1"/>
    <col min="4" max="5" width="5.7109375" style="31" customWidth="1"/>
    <col min="6" max="6" width="1.7109375" style="31" customWidth="1"/>
    <col min="7" max="7" width="5.7109375" style="31" customWidth="1"/>
    <col min="8" max="8" width="3.7109375" style="31" customWidth="1"/>
    <col min="9" max="9" width="10.7109375" style="31" customWidth="1"/>
    <col min="10" max="10" width="13.7109375" style="31" customWidth="1"/>
    <col min="11" max="11" width="3.7109375" style="31" customWidth="1"/>
    <col min="12" max="12" width="10.7109375" style="31" customWidth="1"/>
    <col min="13" max="16384" width="9.140625" style="31" customWidth="1"/>
  </cols>
  <sheetData>
    <row r="1" spans="1:12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0" customFormat="1" ht="13.5" customHeight="1">
      <c r="A2" s="5"/>
      <c r="B2" s="5"/>
      <c r="C2" s="6" t="s">
        <v>73</v>
      </c>
      <c r="D2" s="7"/>
      <c r="E2" s="7"/>
      <c r="F2" s="7"/>
      <c r="G2" s="7"/>
      <c r="H2" s="7"/>
      <c r="I2" s="7"/>
      <c r="J2" s="7"/>
      <c r="K2" s="7"/>
      <c r="L2" s="7"/>
    </row>
    <row r="3" spans="1:12" ht="14.25" customHeigh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9" t="s">
        <v>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4.25" customHeight="1">
      <c r="A5" s="932"/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4"/>
    </row>
    <row r="6" spans="1:12" ht="12.75">
      <c r="A6" s="12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ht="12.75">
      <c r="A7" s="938" t="str">
        <f>'MEMÓRIA DE CÁLCULO'!B2</f>
        <v>Recapeamento asfáltico - cbuq</v>
      </c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39"/>
    </row>
    <row r="8" spans="1:12" ht="6" customHeight="1">
      <c r="A8" s="11"/>
      <c r="B8" s="11"/>
      <c r="C8" s="11"/>
      <c r="D8" s="11"/>
      <c r="E8" s="11"/>
      <c r="F8" s="11"/>
      <c r="G8" s="11"/>
      <c r="H8" s="10"/>
      <c r="I8" s="10"/>
      <c r="J8" s="10"/>
      <c r="K8" s="10"/>
      <c r="L8" s="10"/>
    </row>
    <row r="9" spans="1:12" ht="12.75">
      <c r="A9" s="12" t="s">
        <v>76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3"/>
    </row>
    <row r="10" spans="1:12" ht="12.75">
      <c r="A10" s="918" t="s">
        <v>92</v>
      </c>
      <c r="B10" s="919"/>
      <c r="C10" s="920" t="str">
        <f>'MEMÓRIA DE CÁLCULO'!B1</f>
        <v>UBIRAJARA</v>
      </c>
      <c r="D10" s="921"/>
      <c r="E10" s="921"/>
      <c r="F10" s="921"/>
      <c r="G10" s="921"/>
      <c r="H10" s="921"/>
      <c r="I10" s="921"/>
      <c r="J10" s="921"/>
      <c r="K10" s="921"/>
      <c r="L10" s="922"/>
    </row>
    <row r="11" spans="1:12" ht="6" customHeight="1">
      <c r="A11" s="11"/>
      <c r="B11" s="11"/>
      <c r="C11" s="11"/>
      <c r="D11" s="11"/>
      <c r="E11" s="11"/>
      <c r="F11" s="11"/>
      <c r="G11" s="11"/>
      <c r="H11" s="10"/>
      <c r="I11" s="10"/>
      <c r="J11" s="10"/>
      <c r="K11" s="10"/>
      <c r="L11" s="10"/>
    </row>
    <row r="12" spans="1:12" ht="12.75">
      <c r="A12" s="12" t="s">
        <v>15</v>
      </c>
      <c r="B12" s="11"/>
      <c r="C12" s="13"/>
      <c r="D12" s="923" t="s">
        <v>16</v>
      </c>
      <c r="E12" s="924"/>
      <c r="F12" s="924"/>
      <c r="G12" s="924"/>
      <c r="H12" s="11"/>
      <c r="I12" s="11"/>
      <c r="J12" s="11"/>
      <c r="K12" s="11"/>
      <c r="L12" s="13"/>
    </row>
    <row r="13" spans="1:12" ht="12.75">
      <c r="A13" s="938" t="str">
        <f>'MEMÓRIA DE CÁLCULO'!B4</f>
        <v>Gestão da Política de Desenvolvimento</v>
      </c>
      <c r="B13" s="920"/>
      <c r="C13" s="939"/>
      <c r="D13" s="938">
        <f>'MEMÓRIA DE CÁLCULO'!B5</f>
        <v>0</v>
      </c>
      <c r="E13" s="920"/>
      <c r="F13" s="920"/>
      <c r="G13" s="920"/>
      <c r="H13" s="920"/>
      <c r="I13" s="920"/>
      <c r="J13" s="920"/>
      <c r="K13" s="920"/>
      <c r="L13" s="939"/>
    </row>
    <row r="14" spans="1:12" ht="6" customHeight="1">
      <c r="A14" s="11"/>
      <c r="B14" s="11"/>
      <c r="C14" s="11"/>
      <c r="D14" s="11"/>
      <c r="E14" s="11"/>
      <c r="F14" s="11"/>
      <c r="G14" s="11"/>
      <c r="H14" s="10"/>
      <c r="I14" s="10"/>
      <c r="J14" s="10"/>
      <c r="K14" s="10"/>
      <c r="L14" s="10"/>
    </row>
    <row r="15" spans="1:12" ht="6" customHeight="1">
      <c r="A15" s="11"/>
      <c r="B15" s="11"/>
      <c r="C15" s="11"/>
      <c r="D15" s="11"/>
      <c r="E15" s="11"/>
      <c r="F15" s="11"/>
      <c r="G15" s="11"/>
      <c r="H15" s="10"/>
      <c r="I15" s="10"/>
      <c r="J15" s="10"/>
      <c r="K15" s="10"/>
      <c r="L15" s="10"/>
    </row>
    <row r="16" spans="1:12" ht="12.75">
      <c r="A16" s="9" t="s">
        <v>77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6" customHeight="1">
      <c r="A17" s="11"/>
      <c r="B17" s="11"/>
      <c r="C17" s="11"/>
      <c r="D17" s="11"/>
      <c r="E17" s="11"/>
      <c r="F17" s="11"/>
      <c r="G17" s="11"/>
      <c r="H17" s="10"/>
      <c r="I17" s="10"/>
      <c r="J17" s="10"/>
      <c r="K17" s="10"/>
      <c r="L17" s="10"/>
    </row>
    <row r="18" spans="1:12" ht="12.75">
      <c r="A18" s="925" t="s">
        <v>9</v>
      </c>
      <c r="B18" s="925" t="s">
        <v>10</v>
      </c>
      <c r="C18" s="926"/>
      <c r="D18" s="925" t="s">
        <v>78</v>
      </c>
      <c r="E18" s="927"/>
      <c r="F18" s="927"/>
      <c r="G18" s="927"/>
      <c r="H18" s="927"/>
      <c r="I18" s="927"/>
      <c r="J18" s="927"/>
      <c r="K18" s="925" t="s">
        <v>79</v>
      </c>
      <c r="L18" s="926"/>
    </row>
    <row r="19" spans="1:12" ht="12.75">
      <c r="A19" s="925"/>
      <c r="B19" s="925"/>
      <c r="C19" s="926"/>
      <c r="D19" s="930" t="s">
        <v>11</v>
      </c>
      <c r="E19" s="942"/>
      <c r="F19" s="942"/>
      <c r="G19" s="942"/>
      <c r="H19" s="930" t="s">
        <v>12</v>
      </c>
      <c r="I19" s="931"/>
      <c r="J19" s="19" t="s">
        <v>80</v>
      </c>
      <c r="K19" s="945"/>
      <c r="L19" s="946"/>
    </row>
    <row r="20" spans="1:12" ht="12.75">
      <c r="A20" s="34">
        <f>'PLANILHA '!D13</f>
        <v>1</v>
      </c>
      <c r="B20" s="940" t="str">
        <f>'PLANILHA '!E13</f>
        <v>SERVICOS INICIAIS</v>
      </c>
      <c r="C20" s="940"/>
      <c r="D20" s="941">
        <f>K20*'MEMÓRIA DE CÁLCULO'!G$7/'MEMÓRIA DE CÁLCULO'!G$6</f>
        <v>0</v>
      </c>
      <c r="E20" s="941"/>
      <c r="F20" s="941"/>
      <c r="G20" s="941"/>
      <c r="H20" s="941">
        <f>K20*'MEMÓRIA DE CÁLCULO'!G$8/'MEMÓRIA DE CÁLCULO'!G$6</f>
        <v>0</v>
      </c>
      <c r="I20" s="941"/>
      <c r="J20" s="35"/>
      <c r="K20" s="928">
        <f>'PLANILHA '!P14</f>
        <v>0</v>
      </c>
      <c r="L20" s="929"/>
    </row>
    <row r="21" spans="1:12" ht="12.75">
      <c r="A21" s="36">
        <f>'PLANILHA '!D17</f>
        <v>2</v>
      </c>
      <c r="B21" s="944" t="str">
        <f>'PLANILHA '!E17</f>
        <v>PAVIMENTACÃO ASFALTICO</v>
      </c>
      <c r="C21" s="944"/>
      <c r="D21" s="941">
        <f>K21*'MEMÓRIA DE CÁLCULO'!G$7/'MEMÓRIA DE CÁLCULO'!G$6</f>
        <v>19544.3899372857</v>
      </c>
      <c r="E21" s="941"/>
      <c r="F21" s="941"/>
      <c r="G21" s="941"/>
      <c r="H21" s="941">
        <f>K21*'MEMÓRIA DE CÁLCULO'!G$8/'MEMÓRIA DE CÁLCULO'!G$6</f>
        <v>82090.1922877143</v>
      </c>
      <c r="I21" s="941"/>
      <c r="J21" s="37"/>
      <c r="K21" s="928">
        <f>'PLANILHA '!P26</f>
        <v>101634.58222499999</v>
      </c>
      <c r="L21" s="929"/>
    </row>
    <row r="22" spans="1:12" ht="12.75">
      <c r="A22" s="36">
        <v>3</v>
      </c>
      <c r="B22" s="944" t="str">
        <f>IF(K22=0,0,'PLANILHA '!E35)</f>
        <v>SINALIZAÇÃO </v>
      </c>
      <c r="C22" s="944"/>
      <c r="D22" s="941">
        <f>K22*'MEMÓRIA DE CÁLCULO'!G$7/'MEMÓRIA DE CÁLCULO'!G$6</f>
        <v>10653.544733427823</v>
      </c>
      <c r="E22" s="941"/>
      <c r="F22" s="941"/>
      <c r="G22" s="941"/>
      <c r="H22" s="941">
        <f>K22*'MEMÓRIA DE CÁLCULO'!G$8/'MEMÓRIA DE CÁLCULO'!G$6</f>
        <v>44746.93446657217</v>
      </c>
      <c r="I22" s="941"/>
      <c r="J22" s="37"/>
      <c r="K22" s="928">
        <f>'PLANILHA '!P37</f>
        <v>55400.479199999994</v>
      </c>
      <c r="L22" s="929"/>
    </row>
    <row r="23" spans="1:12" ht="12.75">
      <c r="A23" s="36" t="e">
        <f>IF(K23&gt;0,4,0)</f>
        <v>#REF!</v>
      </c>
      <c r="B23" s="944" t="e">
        <f>IF(K23&gt;0,'PLANILHA '!E39,0)</f>
        <v>#REF!</v>
      </c>
      <c r="C23" s="944"/>
      <c r="D23" s="941" t="e">
        <f>K23*'MEMÓRIA DE CÁLCULO'!G$7/'MEMÓRIA DE CÁLCULO'!G$6</f>
        <v>#REF!</v>
      </c>
      <c r="E23" s="941"/>
      <c r="F23" s="941"/>
      <c r="G23" s="941"/>
      <c r="H23" s="941" t="e">
        <f>K23*'MEMÓRIA DE CÁLCULO'!G$8/'MEMÓRIA DE CÁLCULO'!G$6</f>
        <v>#REF!</v>
      </c>
      <c r="I23" s="941"/>
      <c r="J23" s="37"/>
      <c r="K23" s="928" t="e">
        <f>'PLANILHA '!#REF!</f>
        <v>#REF!</v>
      </c>
      <c r="L23" s="929"/>
    </row>
    <row r="24" spans="1:12" ht="12.75">
      <c r="A24" s="36"/>
      <c r="B24" s="944"/>
      <c r="C24" s="944"/>
      <c r="D24" s="943"/>
      <c r="E24" s="943"/>
      <c r="F24" s="943"/>
      <c r="G24" s="943"/>
      <c r="H24" s="943"/>
      <c r="I24" s="943"/>
      <c r="J24" s="37"/>
      <c r="K24" s="928"/>
      <c r="L24" s="929"/>
    </row>
    <row r="25" spans="1:12" ht="12.75">
      <c r="A25" s="36"/>
      <c r="B25" s="944"/>
      <c r="C25" s="944"/>
      <c r="D25" s="943"/>
      <c r="E25" s="943"/>
      <c r="F25" s="943"/>
      <c r="G25" s="943"/>
      <c r="H25" s="943"/>
      <c r="I25" s="943"/>
      <c r="J25" s="37"/>
      <c r="K25" s="928"/>
      <c r="L25" s="929"/>
    </row>
    <row r="26" spans="1:12" ht="12.75">
      <c r="A26" s="36"/>
      <c r="B26" s="944"/>
      <c r="C26" s="944"/>
      <c r="D26" s="943"/>
      <c r="E26" s="943"/>
      <c r="F26" s="943"/>
      <c r="G26" s="943"/>
      <c r="H26" s="943"/>
      <c r="I26" s="943"/>
      <c r="J26" s="37"/>
      <c r="K26" s="928"/>
      <c r="L26" s="929"/>
    </row>
    <row r="27" spans="1:12" ht="12.75">
      <c r="A27" s="36"/>
      <c r="B27" s="944"/>
      <c r="C27" s="944"/>
      <c r="D27" s="943"/>
      <c r="E27" s="943"/>
      <c r="F27" s="943"/>
      <c r="G27" s="943"/>
      <c r="H27" s="943"/>
      <c r="I27" s="943"/>
      <c r="J27" s="37"/>
      <c r="K27" s="928"/>
      <c r="L27" s="929"/>
    </row>
    <row r="28" spans="1:12" ht="12.75">
      <c r="A28" s="36"/>
      <c r="B28" s="944"/>
      <c r="C28" s="944"/>
      <c r="D28" s="943"/>
      <c r="E28" s="943"/>
      <c r="F28" s="943"/>
      <c r="G28" s="943"/>
      <c r="H28" s="943"/>
      <c r="I28" s="943"/>
      <c r="J28" s="37"/>
      <c r="K28" s="928"/>
      <c r="L28" s="929"/>
    </row>
    <row r="29" spans="1:12" ht="12.75">
      <c r="A29" s="36"/>
      <c r="B29" s="944"/>
      <c r="C29" s="944"/>
      <c r="D29" s="943"/>
      <c r="E29" s="943"/>
      <c r="F29" s="943"/>
      <c r="G29" s="943"/>
      <c r="H29" s="943"/>
      <c r="I29" s="943"/>
      <c r="J29" s="37"/>
      <c r="K29" s="928"/>
      <c r="L29" s="929"/>
    </row>
    <row r="30" spans="1:12" ht="12.75">
      <c r="A30" s="36"/>
      <c r="B30" s="944"/>
      <c r="C30" s="944"/>
      <c r="D30" s="943"/>
      <c r="E30" s="943"/>
      <c r="F30" s="943"/>
      <c r="G30" s="943"/>
      <c r="H30" s="943"/>
      <c r="I30" s="943"/>
      <c r="J30" s="37"/>
      <c r="K30" s="928"/>
      <c r="L30" s="929"/>
    </row>
    <row r="31" spans="1:12" ht="12.75">
      <c r="A31" s="36"/>
      <c r="B31" s="944"/>
      <c r="C31" s="944"/>
      <c r="D31" s="943"/>
      <c r="E31" s="943"/>
      <c r="F31" s="943"/>
      <c r="G31" s="943"/>
      <c r="H31" s="943"/>
      <c r="I31" s="943"/>
      <c r="J31" s="37"/>
      <c r="K31" s="928"/>
      <c r="L31" s="929"/>
    </row>
    <row r="32" spans="1:12" ht="12.75">
      <c r="A32" s="36"/>
      <c r="B32" s="944"/>
      <c r="C32" s="944"/>
      <c r="D32" s="943"/>
      <c r="E32" s="943"/>
      <c r="F32" s="943"/>
      <c r="G32" s="943"/>
      <c r="H32" s="943"/>
      <c r="I32" s="943"/>
      <c r="J32" s="37"/>
      <c r="K32" s="928"/>
      <c r="L32" s="929"/>
    </row>
    <row r="33" spans="1:12" ht="12.75">
      <c r="A33" s="36"/>
      <c r="B33" s="944"/>
      <c r="C33" s="944"/>
      <c r="D33" s="943"/>
      <c r="E33" s="943"/>
      <c r="F33" s="943"/>
      <c r="G33" s="943"/>
      <c r="H33" s="943"/>
      <c r="I33" s="943"/>
      <c r="J33" s="37"/>
      <c r="K33" s="928"/>
      <c r="L33" s="929"/>
    </row>
    <row r="34" spans="1:12" ht="12.75">
      <c r="A34" s="36"/>
      <c r="B34" s="944"/>
      <c r="C34" s="944"/>
      <c r="D34" s="943"/>
      <c r="E34" s="943"/>
      <c r="F34" s="943"/>
      <c r="G34" s="943"/>
      <c r="H34" s="943"/>
      <c r="I34" s="943"/>
      <c r="J34" s="37"/>
      <c r="K34" s="928"/>
      <c r="L34" s="929"/>
    </row>
    <row r="35" spans="1:12" ht="12.75">
      <c r="A35" s="36"/>
      <c r="B35" s="944"/>
      <c r="C35" s="944"/>
      <c r="D35" s="943"/>
      <c r="E35" s="943"/>
      <c r="F35" s="943"/>
      <c r="G35" s="943"/>
      <c r="H35" s="943"/>
      <c r="I35" s="943"/>
      <c r="J35" s="37"/>
      <c r="K35" s="928"/>
      <c r="L35" s="929"/>
    </row>
    <row r="36" spans="1:12" ht="12.75">
      <c r="A36" s="36"/>
      <c r="B36" s="944"/>
      <c r="C36" s="944"/>
      <c r="D36" s="943"/>
      <c r="E36" s="943"/>
      <c r="F36" s="943"/>
      <c r="G36" s="943"/>
      <c r="H36" s="943"/>
      <c r="I36" s="943"/>
      <c r="J36" s="37"/>
      <c r="K36" s="928"/>
      <c r="L36" s="929"/>
    </row>
    <row r="37" spans="1:12" ht="12.75">
      <c r="A37" s="36"/>
      <c r="B37" s="944"/>
      <c r="C37" s="944"/>
      <c r="D37" s="943"/>
      <c r="E37" s="943"/>
      <c r="F37" s="943"/>
      <c r="G37" s="943"/>
      <c r="H37" s="943"/>
      <c r="I37" s="943"/>
      <c r="J37" s="37"/>
      <c r="K37" s="928"/>
      <c r="L37" s="929"/>
    </row>
    <row r="38" spans="1:12" ht="12.75">
      <c r="A38" s="36"/>
      <c r="B38" s="944"/>
      <c r="C38" s="944"/>
      <c r="D38" s="943"/>
      <c r="E38" s="943"/>
      <c r="F38" s="943"/>
      <c r="G38" s="943"/>
      <c r="H38" s="943"/>
      <c r="I38" s="943"/>
      <c r="J38" s="37"/>
      <c r="K38" s="928"/>
      <c r="L38" s="929"/>
    </row>
    <row r="39" spans="1:12" ht="12.75">
      <c r="A39" s="36"/>
      <c r="B39" s="944"/>
      <c r="C39" s="944"/>
      <c r="D39" s="943"/>
      <c r="E39" s="943"/>
      <c r="F39" s="943"/>
      <c r="G39" s="943"/>
      <c r="H39" s="943"/>
      <c r="I39" s="943"/>
      <c r="J39" s="37"/>
      <c r="K39" s="928"/>
      <c r="L39" s="929"/>
    </row>
    <row r="40" spans="1:12" ht="12.75">
      <c r="A40" s="36"/>
      <c r="B40" s="944"/>
      <c r="C40" s="944"/>
      <c r="D40" s="943"/>
      <c r="E40" s="943"/>
      <c r="F40" s="943"/>
      <c r="G40" s="943"/>
      <c r="H40" s="943"/>
      <c r="I40" s="943"/>
      <c r="J40" s="37"/>
      <c r="K40" s="928"/>
      <c r="L40" s="929"/>
    </row>
    <row r="41" spans="1:12" ht="12.75">
      <c r="A41" s="36"/>
      <c r="B41" s="944"/>
      <c r="C41" s="944"/>
      <c r="D41" s="943"/>
      <c r="E41" s="943"/>
      <c r="F41" s="943"/>
      <c r="G41" s="943"/>
      <c r="H41" s="943"/>
      <c r="I41" s="943"/>
      <c r="J41" s="37"/>
      <c r="K41" s="928"/>
      <c r="L41" s="929"/>
    </row>
    <row r="42" spans="1:12" ht="12.75">
      <c r="A42" s="36"/>
      <c r="B42" s="944"/>
      <c r="C42" s="944"/>
      <c r="D42" s="943"/>
      <c r="E42" s="943"/>
      <c r="F42" s="943"/>
      <c r="G42" s="943"/>
      <c r="H42" s="943"/>
      <c r="I42" s="943"/>
      <c r="J42" s="37"/>
      <c r="K42" s="928"/>
      <c r="L42" s="929"/>
    </row>
    <row r="43" spans="1:12" ht="12.75">
      <c r="A43" s="36"/>
      <c r="B43" s="944"/>
      <c r="C43" s="944"/>
      <c r="D43" s="943"/>
      <c r="E43" s="943"/>
      <c r="F43" s="943"/>
      <c r="G43" s="943"/>
      <c r="H43" s="943"/>
      <c r="I43" s="943"/>
      <c r="J43" s="37"/>
      <c r="K43" s="928"/>
      <c r="L43" s="929"/>
    </row>
    <row r="44" spans="1:12" ht="12.75">
      <c r="A44" s="36"/>
      <c r="B44" s="944"/>
      <c r="C44" s="944"/>
      <c r="D44" s="943"/>
      <c r="E44" s="943"/>
      <c r="F44" s="943"/>
      <c r="G44" s="943"/>
      <c r="H44" s="943"/>
      <c r="I44" s="943"/>
      <c r="J44" s="37"/>
      <c r="K44" s="928"/>
      <c r="L44" s="929"/>
    </row>
    <row r="45" spans="1:12" ht="12.75">
      <c r="A45" s="38"/>
      <c r="B45" s="944"/>
      <c r="C45" s="944"/>
      <c r="D45" s="943"/>
      <c r="E45" s="943"/>
      <c r="F45" s="943"/>
      <c r="G45" s="943"/>
      <c r="H45" s="943"/>
      <c r="I45" s="943"/>
      <c r="J45" s="37"/>
      <c r="K45" s="928"/>
      <c r="L45" s="929"/>
    </row>
    <row r="46" spans="1:12" ht="12.75">
      <c r="A46" s="38"/>
      <c r="B46" s="944"/>
      <c r="C46" s="944"/>
      <c r="D46" s="943"/>
      <c r="E46" s="943"/>
      <c r="F46" s="943"/>
      <c r="G46" s="943"/>
      <c r="H46" s="943"/>
      <c r="I46" s="943"/>
      <c r="J46" s="37"/>
      <c r="K46" s="928"/>
      <c r="L46" s="929"/>
    </row>
    <row r="47" spans="1:12" ht="12.75">
      <c r="A47" s="948" t="s">
        <v>35</v>
      </c>
      <c r="B47" s="948"/>
      <c r="C47" s="948"/>
      <c r="D47" s="943" t="e">
        <f>SUM(D20:G46)</f>
        <v>#REF!</v>
      </c>
      <c r="E47" s="943"/>
      <c r="F47" s="943"/>
      <c r="G47" s="943"/>
      <c r="H47" s="943" t="e">
        <f>SUM(H20:I46)</f>
        <v>#REF!</v>
      </c>
      <c r="I47" s="943"/>
      <c r="J47" s="37"/>
      <c r="K47" s="943" t="e">
        <f>SUM(K20:L46)</f>
        <v>#REF!</v>
      </c>
      <c r="L47" s="943"/>
    </row>
    <row r="48" spans="1:12" ht="12.75">
      <c r="A48" s="948" t="s">
        <v>44</v>
      </c>
      <c r="B48" s="948"/>
      <c r="C48" s="948"/>
      <c r="D48" s="948"/>
      <c r="E48" s="948"/>
      <c r="F48" s="948"/>
      <c r="G48" s="948"/>
      <c r="H48" s="948"/>
      <c r="I48" s="948"/>
      <c r="J48" s="948"/>
      <c r="K48" s="928" t="e">
        <f>K47/'MEMÓRIA DE CÁLCULO'!G10</f>
        <v>#REF!</v>
      </c>
      <c r="L48" s="929"/>
    </row>
    <row r="49" spans="1:12" ht="12.75">
      <c r="A49" s="11"/>
      <c r="B49" s="11"/>
      <c r="C49" s="11"/>
      <c r="D49" s="11"/>
      <c r="E49" s="11"/>
      <c r="F49" s="11"/>
      <c r="G49" s="11"/>
      <c r="H49" s="10"/>
      <c r="I49" s="10"/>
      <c r="J49" s="10"/>
      <c r="K49" s="10"/>
      <c r="L49" s="10"/>
    </row>
    <row r="50" spans="1:12" ht="12.75">
      <c r="A50" s="949" t="str">
        <f>'MEMÓRIA DE CÁLCULO'!B1</f>
        <v>UBIRAJARA</v>
      </c>
      <c r="B50" s="949"/>
      <c r="C50" s="949"/>
      <c r="D50" s="949"/>
      <c r="E50" s="949"/>
      <c r="F50" s="8" t="s">
        <v>81</v>
      </c>
      <c r="G50" s="916">
        <f>'MEMÓRIA DE CÁLCULO'!G2:H2</f>
        <v>40255</v>
      </c>
      <c r="H50" s="917"/>
      <c r="I50" s="917"/>
      <c r="J50" s="39"/>
      <c r="K50" s="39"/>
      <c r="L50" s="39"/>
    </row>
    <row r="51" spans="1:12" ht="12.75">
      <c r="A51" s="935" t="s">
        <v>82</v>
      </c>
      <c r="B51" s="93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4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52"/>
      <c r="B53" s="953"/>
      <c r="C53" s="953"/>
      <c r="D53" s="40"/>
      <c r="E53" s="11"/>
      <c r="F53" s="18"/>
      <c r="G53" s="950"/>
      <c r="H53" s="951"/>
      <c r="I53" s="951"/>
      <c r="J53" s="951"/>
      <c r="K53" s="951"/>
      <c r="L53" s="951"/>
    </row>
    <row r="54" spans="1:12" ht="12.75">
      <c r="A54" s="18" t="s">
        <v>83</v>
      </c>
      <c r="B54" s="17"/>
      <c r="C54" s="17"/>
      <c r="D54" s="17"/>
      <c r="E54" s="11"/>
      <c r="F54" s="41"/>
      <c r="G54" s="18" t="s">
        <v>84</v>
      </c>
      <c r="H54" s="241"/>
      <c r="I54" s="241"/>
      <c r="J54" s="241"/>
      <c r="K54" s="241"/>
      <c r="L54" s="241"/>
    </row>
    <row r="55" spans="1:12" ht="12.75">
      <c r="A55" s="18" t="s">
        <v>85</v>
      </c>
      <c r="B55" s="947" t="str">
        <f>'PLANILHA '!E50</f>
        <v>ENGº    AGOSTINHO DE BARROS TENDOLO</v>
      </c>
      <c r="C55" s="947"/>
      <c r="D55" s="17"/>
      <c r="E55" s="11"/>
      <c r="F55" s="41"/>
      <c r="G55" s="18" t="s">
        <v>85</v>
      </c>
      <c r="H55" s="937">
        <f>'PLANILHA '!H50</f>
        <v>0</v>
      </c>
      <c r="I55" s="937"/>
      <c r="J55" s="937"/>
      <c r="K55" s="937"/>
      <c r="L55" s="937"/>
    </row>
    <row r="56" spans="1:12" ht="12.75">
      <c r="A56" s="18" t="s">
        <v>86</v>
      </c>
      <c r="B56" s="947" t="str">
        <f>'PLANILHA '!E51</f>
        <v>CREA Nº. 0600542176</v>
      </c>
      <c r="C56" s="947"/>
      <c r="D56" s="17"/>
      <c r="E56" s="11"/>
      <c r="F56" s="41"/>
      <c r="G56" s="18" t="s">
        <v>86</v>
      </c>
      <c r="H56" s="937" t="str">
        <f>'PLANILHA '!H51</f>
        <v> PREFEITURA  MUNCIPAL   DE   AGUDOS</v>
      </c>
      <c r="I56" s="937"/>
      <c r="J56" s="937"/>
      <c r="K56" s="937"/>
      <c r="L56" s="937"/>
    </row>
    <row r="57" spans="1:12" ht="12.75">
      <c r="A57" s="915">
        <f>'PLANILHA '!E52</f>
        <v>0</v>
      </c>
      <c r="B57" s="787"/>
      <c r="C57" s="787"/>
      <c r="D57" s="29"/>
      <c r="E57" s="10"/>
      <c r="F57" s="41"/>
      <c r="G57" s="16"/>
      <c r="H57" s="41"/>
      <c r="I57" s="41"/>
      <c r="J57" s="41"/>
      <c r="K57" s="41"/>
      <c r="L57" s="41"/>
    </row>
  </sheetData>
  <sheetProtection password="DDEF" sheet="1"/>
  <mergeCells count="137">
    <mergeCell ref="H46:I46"/>
    <mergeCell ref="A53:C53"/>
    <mergeCell ref="B55:C55"/>
    <mergeCell ref="K47:L47"/>
    <mergeCell ref="A47:C47"/>
    <mergeCell ref="D47:G47"/>
    <mergeCell ref="H47:I47"/>
    <mergeCell ref="K46:L46"/>
    <mergeCell ref="K22:L22"/>
    <mergeCell ref="B56:C56"/>
    <mergeCell ref="H56:L56"/>
    <mergeCell ref="A48:J48"/>
    <mergeCell ref="A50:E50"/>
    <mergeCell ref="K48:L48"/>
    <mergeCell ref="B46:C46"/>
    <mergeCell ref="G53:L53"/>
    <mergeCell ref="B45:C45"/>
    <mergeCell ref="D46:G46"/>
    <mergeCell ref="D45:G45"/>
    <mergeCell ref="H45:I45"/>
    <mergeCell ref="K44:L44"/>
    <mergeCell ref="B44:C44"/>
    <mergeCell ref="D44:G44"/>
    <mergeCell ref="H44:I44"/>
    <mergeCell ref="K45:L45"/>
    <mergeCell ref="B43:C43"/>
    <mergeCell ref="D43:G43"/>
    <mergeCell ref="H43:I43"/>
    <mergeCell ref="K42:L42"/>
    <mergeCell ref="K43:L43"/>
    <mergeCell ref="B42:C42"/>
    <mergeCell ref="D42:G42"/>
    <mergeCell ref="H42:I42"/>
    <mergeCell ref="B41:C41"/>
    <mergeCell ref="D41:G41"/>
    <mergeCell ref="H41:I41"/>
    <mergeCell ref="K40:L40"/>
    <mergeCell ref="K41:L41"/>
    <mergeCell ref="B40:C40"/>
    <mergeCell ref="D40:G40"/>
    <mergeCell ref="H40:I40"/>
    <mergeCell ref="B39:C39"/>
    <mergeCell ref="D39:G39"/>
    <mergeCell ref="H39:I39"/>
    <mergeCell ref="K38:L38"/>
    <mergeCell ref="K39:L39"/>
    <mergeCell ref="B38:C38"/>
    <mergeCell ref="D38:G38"/>
    <mergeCell ref="H38:I38"/>
    <mergeCell ref="B37:C37"/>
    <mergeCell ref="D37:G37"/>
    <mergeCell ref="H37:I37"/>
    <mergeCell ref="K36:L36"/>
    <mergeCell ref="K37:L37"/>
    <mergeCell ref="B36:C36"/>
    <mergeCell ref="D36:G36"/>
    <mergeCell ref="H36:I36"/>
    <mergeCell ref="B35:C35"/>
    <mergeCell ref="D35:G35"/>
    <mergeCell ref="H35:I35"/>
    <mergeCell ref="K34:L34"/>
    <mergeCell ref="K35:L35"/>
    <mergeCell ref="B34:C34"/>
    <mergeCell ref="D34:G34"/>
    <mergeCell ref="H34:I34"/>
    <mergeCell ref="B33:C33"/>
    <mergeCell ref="D33:G33"/>
    <mergeCell ref="H33:I33"/>
    <mergeCell ref="K32:L32"/>
    <mergeCell ref="K33:L33"/>
    <mergeCell ref="B32:C32"/>
    <mergeCell ref="D32:G32"/>
    <mergeCell ref="H32:I32"/>
    <mergeCell ref="B31:C31"/>
    <mergeCell ref="D31:G31"/>
    <mergeCell ref="H31:I31"/>
    <mergeCell ref="K30:L30"/>
    <mergeCell ref="K31:L31"/>
    <mergeCell ref="B30:C30"/>
    <mergeCell ref="D30:G30"/>
    <mergeCell ref="H30:I30"/>
    <mergeCell ref="B29:C29"/>
    <mergeCell ref="D29:G29"/>
    <mergeCell ref="H29:I29"/>
    <mergeCell ref="K28:L28"/>
    <mergeCell ref="K29:L29"/>
    <mergeCell ref="B28:C28"/>
    <mergeCell ref="D28:G28"/>
    <mergeCell ref="H28:I28"/>
    <mergeCell ref="H25:I25"/>
    <mergeCell ref="K26:L26"/>
    <mergeCell ref="B26:C26"/>
    <mergeCell ref="D26:G26"/>
    <mergeCell ref="H26:I26"/>
    <mergeCell ref="K25:L25"/>
    <mergeCell ref="B25:C25"/>
    <mergeCell ref="D25:G25"/>
    <mergeCell ref="B27:C27"/>
    <mergeCell ref="D27:G27"/>
    <mergeCell ref="H27:I27"/>
    <mergeCell ref="K27:L27"/>
    <mergeCell ref="B23:C23"/>
    <mergeCell ref="D23:G23"/>
    <mergeCell ref="H23:I23"/>
    <mergeCell ref="K24:L24"/>
    <mergeCell ref="B24:C24"/>
    <mergeCell ref="D24:G24"/>
    <mergeCell ref="H24:I24"/>
    <mergeCell ref="B22:C22"/>
    <mergeCell ref="D22:G22"/>
    <mergeCell ref="H22:I22"/>
    <mergeCell ref="B21:C21"/>
    <mergeCell ref="K18:L19"/>
    <mergeCell ref="H21:I21"/>
    <mergeCell ref="H20:I20"/>
    <mergeCell ref="D21:G21"/>
    <mergeCell ref="K21:L21"/>
    <mergeCell ref="A5:L5"/>
    <mergeCell ref="A51:B51"/>
    <mergeCell ref="H55:L55"/>
    <mergeCell ref="A13:C13"/>
    <mergeCell ref="B20:C20"/>
    <mergeCell ref="A7:L7"/>
    <mergeCell ref="K20:L20"/>
    <mergeCell ref="D20:G20"/>
    <mergeCell ref="D19:G19"/>
    <mergeCell ref="D13:L13"/>
    <mergeCell ref="A57:C57"/>
    <mergeCell ref="G50:I50"/>
    <mergeCell ref="A10:B10"/>
    <mergeCell ref="C10:L10"/>
    <mergeCell ref="D12:G12"/>
    <mergeCell ref="A18:A19"/>
    <mergeCell ref="B18:C19"/>
    <mergeCell ref="D18:J18"/>
    <mergeCell ref="K23:L23"/>
    <mergeCell ref="H19:I19"/>
  </mergeCells>
  <printOptions horizontalCentered="1" verticalCentered="1"/>
  <pageMargins left="0.2755905511811024" right="0.1968503937007874" top="1.220472440944882" bottom="0.984251968503937" header="0.5118110236220472" footer="0.5118110236220472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D10">
      <selection activeCell="N26" sqref="N26"/>
    </sheetView>
  </sheetViews>
  <sheetFormatPr defaultColWidth="9.140625" defaultRowHeight="12.75"/>
  <cols>
    <col min="1" max="2" width="5.7109375" style="51" customWidth="1"/>
    <col min="3" max="3" width="10.7109375" style="59" customWidth="1"/>
    <col min="4" max="4" width="9.7109375" style="59" customWidth="1"/>
    <col min="5" max="5" width="8.7109375" style="59" customWidth="1"/>
    <col min="6" max="6" width="9.7109375" style="59" customWidth="1"/>
    <col min="7" max="8" width="10.7109375" style="59" customWidth="1"/>
    <col min="9" max="9" width="8.7109375" style="59" customWidth="1"/>
    <col min="10" max="10" width="9.7109375" style="59" customWidth="1"/>
    <col min="11" max="13" width="9.140625" style="31" customWidth="1"/>
    <col min="14" max="14" width="10.140625" style="31" bestFit="1" customWidth="1"/>
    <col min="15" max="15" width="9.140625" style="31" customWidth="1"/>
    <col min="16" max="16" width="10.00390625" style="31" customWidth="1"/>
    <col min="17" max="16384" width="9.140625" style="31" customWidth="1"/>
  </cols>
  <sheetData>
    <row r="1" spans="1:17" ht="12.75" customHeight="1">
      <c r="A1" s="954" t="s">
        <v>105</v>
      </c>
      <c r="B1" s="778"/>
      <c r="C1" s="778"/>
      <c r="D1" s="778"/>
      <c r="E1" s="778"/>
      <c r="F1" s="779"/>
      <c r="G1" s="955" t="s">
        <v>106</v>
      </c>
      <c r="H1" s="956"/>
      <c r="I1" s="956" t="str">
        <f>'MEMÓRIA DE CÁLCULO'!B6</f>
        <v>730160/2009</v>
      </c>
      <c r="J1" s="957"/>
      <c r="K1" s="41"/>
      <c r="L1" s="41"/>
      <c r="M1" s="41"/>
      <c r="N1" s="41"/>
      <c r="O1" s="41"/>
      <c r="P1" s="41"/>
      <c r="Q1" s="41"/>
    </row>
    <row r="2" spans="1:17" ht="12.75" customHeight="1">
      <c r="A2" s="958" t="s">
        <v>107</v>
      </c>
      <c r="B2" s="959"/>
      <c r="C2" s="959"/>
      <c r="D2" s="960" t="str">
        <f>'MEMÓRIA DE CÁLCULO'!B1</f>
        <v>UBIRAJARA</v>
      </c>
      <c r="E2" s="960"/>
      <c r="F2" s="961"/>
      <c r="G2" s="243" t="s">
        <v>108</v>
      </c>
      <c r="H2" s="244">
        <v>39952</v>
      </c>
      <c r="I2" s="245" t="s">
        <v>109</v>
      </c>
      <c r="J2" s="246">
        <v>40592</v>
      </c>
      <c r="K2" s="41"/>
      <c r="L2" s="41"/>
      <c r="M2" s="41"/>
      <c r="N2" s="41"/>
      <c r="O2" s="41"/>
      <c r="P2" s="41"/>
      <c r="Q2" s="41"/>
    </row>
    <row r="3" spans="1:17" ht="13.5" thickBot="1">
      <c r="A3" s="247"/>
      <c r="B3" s="247"/>
      <c r="C3" s="248"/>
      <c r="D3" s="248"/>
      <c r="E3" s="248"/>
      <c r="F3" s="248"/>
      <c r="G3" s="248"/>
      <c r="H3" s="248"/>
      <c r="I3" s="248"/>
      <c r="J3" s="248"/>
      <c r="K3" s="41"/>
      <c r="L3" s="965" t="s">
        <v>110</v>
      </c>
      <c r="M3" s="966"/>
      <c r="N3" s="966"/>
      <c r="O3" s="966"/>
      <c r="P3" s="966"/>
      <c r="Q3" s="41"/>
    </row>
    <row r="4" spans="1:17" ht="25.5" customHeight="1">
      <c r="A4" s="249" t="s">
        <v>111</v>
      </c>
      <c r="B4" s="250" t="s">
        <v>112</v>
      </c>
      <c r="C4" s="963" t="s">
        <v>113</v>
      </c>
      <c r="D4" s="967"/>
      <c r="E4" s="967"/>
      <c r="F4" s="968" t="s">
        <v>114</v>
      </c>
      <c r="G4" s="969"/>
      <c r="H4" s="969"/>
      <c r="I4" s="969"/>
      <c r="J4" s="969"/>
      <c r="K4" s="41"/>
      <c r="L4" s="970" t="s">
        <v>115</v>
      </c>
      <c r="M4" s="971"/>
      <c r="N4" s="971"/>
      <c r="O4" s="971"/>
      <c r="P4" s="253">
        <v>1</v>
      </c>
      <c r="Q4" s="41"/>
    </row>
    <row r="5" spans="1:17" ht="12.75">
      <c r="A5" s="249"/>
      <c r="B5" s="250"/>
      <c r="C5" s="251"/>
      <c r="D5" s="251"/>
      <c r="E5" s="251"/>
      <c r="F5" s="254" t="s">
        <v>116</v>
      </c>
      <c r="G5" s="972" t="s">
        <v>117</v>
      </c>
      <c r="H5" s="973"/>
      <c r="I5" s="974" t="s">
        <v>118</v>
      </c>
      <c r="J5" s="973"/>
      <c r="K5" s="41"/>
      <c r="L5" s="975" t="s">
        <v>119</v>
      </c>
      <c r="M5" s="976"/>
      <c r="N5" s="976"/>
      <c r="O5" s="976"/>
      <c r="P5" s="977"/>
      <c r="Q5" s="41"/>
    </row>
    <row r="6" spans="1:17" ht="12.75" customHeight="1">
      <c r="A6" s="256"/>
      <c r="B6" s="257"/>
      <c r="C6" s="258"/>
      <c r="D6" s="258"/>
      <c r="E6" s="259"/>
      <c r="F6" s="260"/>
      <c r="G6" s="255" t="s">
        <v>120</v>
      </c>
      <c r="H6" s="261" t="s">
        <v>121</v>
      </c>
      <c r="I6" s="262" t="s">
        <v>120</v>
      </c>
      <c r="J6" s="261" t="s">
        <v>121</v>
      </c>
      <c r="K6" s="41"/>
      <c r="L6" s="263" t="s">
        <v>122</v>
      </c>
      <c r="M6" s="264" t="s">
        <v>123</v>
      </c>
      <c r="N6" s="264" t="s">
        <v>124</v>
      </c>
      <c r="O6" s="264" t="s">
        <v>125</v>
      </c>
      <c r="P6" s="265" t="s">
        <v>126</v>
      </c>
      <c r="Q6" s="41"/>
    </row>
    <row r="7" spans="1:17" ht="12.75" customHeight="1">
      <c r="A7" s="249" t="s">
        <v>127</v>
      </c>
      <c r="B7" s="266">
        <f>'PLANILHA '!D13</f>
        <v>1</v>
      </c>
      <c r="C7" s="962" t="str">
        <f>'PLANILHA '!E13</f>
        <v>SERVICOS INICIAIS</v>
      </c>
      <c r="D7" s="963"/>
      <c r="E7" s="964"/>
      <c r="F7" s="267" t="s">
        <v>31</v>
      </c>
      <c r="G7" s="268">
        <f>'CRON GERAL'!AQ25</f>
        <v>40</v>
      </c>
      <c r="H7" s="269">
        <f>P15</f>
        <v>100</v>
      </c>
      <c r="I7" s="254">
        <f>'CRON GERAL'!AQ19</f>
        <v>40</v>
      </c>
      <c r="J7" s="270">
        <f>P7</f>
        <v>100</v>
      </c>
      <c r="K7" s="41"/>
      <c r="L7" s="271">
        <v>100</v>
      </c>
      <c r="M7" s="272"/>
      <c r="N7" s="272"/>
      <c r="O7" s="272"/>
      <c r="P7" s="273">
        <f aca="true" t="shared" si="0" ref="P7:P12">SUM(L7:O7)</f>
        <v>100</v>
      </c>
      <c r="Q7" s="41"/>
    </row>
    <row r="8" spans="1:17" ht="12.75" customHeight="1">
      <c r="A8" s="249" t="s">
        <v>127</v>
      </c>
      <c r="B8" s="266">
        <f>'PLANILHA '!D17</f>
        <v>2</v>
      </c>
      <c r="C8" s="962" t="str">
        <f>'PLANILHA '!E17</f>
        <v>PAVIMENTACÃO ASFALTICO</v>
      </c>
      <c r="D8" s="963"/>
      <c r="E8" s="964"/>
      <c r="F8" s="267" t="s">
        <v>31</v>
      </c>
      <c r="G8" s="268">
        <f>'CRON GERAL'!AQ26</f>
        <v>40</v>
      </c>
      <c r="H8" s="269">
        <f>P16</f>
        <v>100</v>
      </c>
      <c r="I8" s="267">
        <f>'CRON GERAL'!AQ20</f>
        <v>40</v>
      </c>
      <c r="J8" s="270">
        <f>P8</f>
        <v>100</v>
      </c>
      <c r="K8" s="41"/>
      <c r="L8" s="271">
        <v>100</v>
      </c>
      <c r="M8" s="272"/>
      <c r="N8" s="272"/>
      <c r="O8" s="272"/>
      <c r="P8" s="273">
        <f t="shared" si="0"/>
        <v>100</v>
      </c>
      <c r="Q8" s="41"/>
    </row>
    <row r="9" spans="1:17" ht="12.75" customHeight="1">
      <c r="A9" s="249" t="s">
        <v>127</v>
      </c>
      <c r="B9" s="266">
        <f>'PLANILHA '!D35</f>
        <v>4</v>
      </c>
      <c r="C9" s="962" t="str">
        <f>'PLANILHA '!E35</f>
        <v>SINALIZAÇÃO </v>
      </c>
      <c r="D9" s="963"/>
      <c r="E9" s="964"/>
      <c r="F9" s="267" t="s">
        <v>31</v>
      </c>
      <c r="G9" s="268">
        <f>'CRON GERAL'!AQ27</f>
        <v>0</v>
      </c>
      <c r="H9" s="269">
        <f>P17</f>
        <v>100</v>
      </c>
      <c r="I9" s="267">
        <f>'CRON GERAL'!AQ21</f>
        <v>0</v>
      </c>
      <c r="J9" s="270">
        <f>P9</f>
        <v>100</v>
      </c>
      <c r="K9" s="41"/>
      <c r="L9" s="271">
        <v>100</v>
      </c>
      <c r="M9" s="272"/>
      <c r="N9" s="272"/>
      <c r="O9" s="272"/>
      <c r="P9" s="273">
        <f t="shared" si="0"/>
        <v>100</v>
      </c>
      <c r="Q9" s="41"/>
    </row>
    <row r="10" spans="1:17" ht="12.75" customHeight="1">
      <c r="A10" s="249"/>
      <c r="B10" s="266">
        <f>'PLANILHA '!D39</f>
        <v>5</v>
      </c>
      <c r="C10" s="962" t="str">
        <f>'PLANILHA '!E39</f>
        <v>PASSEIO EM CONCRETO</v>
      </c>
      <c r="D10" s="963"/>
      <c r="E10" s="964"/>
      <c r="F10" s="267" t="s">
        <v>31</v>
      </c>
      <c r="G10" s="268">
        <f>'CRON GERAL'!AQ28</f>
        <v>0</v>
      </c>
      <c r="H10" s="269">
        <f>P18</f>
        <v>0</v>
      </c>
      <c r="I10" s="267">
        <f>'CRON GERAL'!AQ22</f>
        <v>0</v>
      </c>
      <c r="J10" s="270">
        <f>P10</f>
        <v>0</v>
      </c>
      <c r="K10" s="41"/>
      <c r="L10" s="345">
        <v>0</v>
      </c>
      <c r="M10" s="346"/>
      <c r="N10" s="346"/>
      <c r="O10" s="346"/>
      <c r="P10" s="273">
        <f t="shared" si="0"/>
        <v>0</v>
      </c>
      <c r="Q10" s="41"/>
    </row>
    <row r="11" spans="1:17" ht="12.75" customHeight="1" thickBot="1">
      <c r="A11" s="249"/>
      <c r="B11" s="266"/>
      <c r="C11" s="962"/>
      <c r="D11" s="963"/>
      <c r="E11" s="964"/>
      <c r="F11" s="267"/>
      <c r="G11" s="268"/>
      <c r="H11" s="269"/>
      <c r="I11" s="267"/>
      <c r="J11" s="270"/>
      <c r="K11" s="41"/>
      <c r="L11" s="302"/>
      <c r="M11" s="303"/>
      <c r="N11" s="303"/>
      <c r="O11" s="303"/>
      <c r="P11" s="274">
        <f t="shared" si="0"/>
        <v>0</v>
      </c>
      <c r="Q11" s="41"/>
    </row>
    <row r="12" spans="1:17" ht="12.75" customHeight="1">
      <c r="A12" s="249" t="s">
        <v>127</v>
      </c>
      <c r="B12" s="250"/>
      <c r="C12" s="962"/>
      <c r="D12" s="963"/>
      <c r="E12" s="964"/>
      <c r="F12" s="267"/>
      <c r="G12" s="268"/>
      <c r="H12" s="269"/>
      <c r="I12" s="267"/>
      <c r="J12" s="270"/>
      <c r="K12" s="41"/>
      <c r="L12" s="73"/>
      <c r="M12" s="73"/>
      <c r="N12" s="73"/>
      <c r="O12" s="73"/>
      <c r="P12" s="73">
        <f t="shared" si="0"/>
        <v>0</v>
      </c>
      <c r="Q12" s="41"/>
    </row>
    <row r="13" spans="1:17" ht="12.75" customHeight="1">
      <c r="A13" s="249" t="s">
        <v>127</v>
      </c>
      <c r="B13" s="250"/>
      <c r="C13" s="962"/>
      <c r="D13" s="963"/>
      <c r="E13" s="964"/>
      <c r="F13" s="267"/>
      <c r="G13" s="268"/>
      <c r="H13" s="269"/>
      <c r="I13" s="267"/>
      <c r="J13" s="270"/>
      <c r="K13" s="41"/>
      <c r="L13" s="981" t="s">
        <v>128</v>
      </c>
      <c r="M13" s="982"/>
      <c r="N13" s="982"/>
      <c r="O13" s="982"/>
      <c r="P13" s="983"/>
      <c r="Q13" s="41"/>
    </row>
    <row r="14" spans="1:17" ht="12.75" customHeight="1">
      <c r="A14" s="249" t="s">
        <v>127</v>
      </c>
      <c r="B14" s="250"/>
      <c r="C14" s="962"/>
      <c r="D14" s="963"/>
      <c r="E14" s="964"/>
      <c r="F14" s="267"/>
      <c r="G14" s="268"/>
      <c r="H14" s="269"/>
      <c r="I14" s="267"/>
      <c r="J14" s="270"/>
      <c r="K14" s="41"/>
      <c r="L14" s="275" t="s">
        <v>122</v>
      </c>
      <c r="M14" s="275" t="s">
        <v>123</v>
      </c>
      <c r="N14" s="275" t="s">
        <v>124</v>
      </c>
      <c r="O14" s="275" t="s">
        <v>125</v>
      </c>
      <c r="P14" s="275" t="s">
        <v>126</v>
      </c>
      <c r="Q14" s="41"/>
    </row>
    <row r="15" spans="1:17" ht="12.75" customHeight="1">
      <c r="A15" s="249" t="s">
        <v>127</v>
      </c>
      <c r="B15" s="250"/>
      <c r="C15" s="962"/>
      <c r="D15" s="963"/>
      <c r="E15" s="964"/>
      <c r="F15" s="267"/>
      <c r="G15" s="268"/>
      <c r="H15" s="269"/>
      <c r="I15" s="267"/>
      <c r="J15" s="270"/>
      <c r="K15" s="41"/>
      <c r="L15" s="276">
        <f>IF($P$4=1,L7,0)</f>
        <v>100</v>
      </c>
      <c r="M15" s="276">
        <f>IF($P$4=2,M7,0)</f>
        <v>0</v>
      </c>
      <c r="N15" s="276">
        <f>IF($P$4=3,N7,0)</f>
        <v>0</v>
      </c>
      <c r="O15" s="276">
        <f>IF($P$4=4,O7,0)</f>
        <v>0</v>
      </c>
      <c r="P15" s="276">
        <f>SUM(L15:O15)</f>
        <v>100</v>
      </c>
      <c r="Q15" s="41"/>
    </row>
    <row r="16" spans="1:17" ht="12.75">
      <c r="A16" s="249" t="s">
        <v>127</v>
      </c>
      <c r="B16" s="250"/>
      <c r="C16" s="962"/>
      <c r="D16" s="963"/>
      <c r="E16" s="964"/>
      <c r="F16" s="267"/>
      <c r="G16" s="268"/>
      <c r="H16" s="269"/>
      <c r="I16" s="267"/>
      <c r="J16" s="270"/>
      <c r="K16" s="41"/>
      <c r="L16" s="276">
        <f>IF($P$4=1,L8,0)</f>
        <v>100</v>
      </c>
      <c r="M16" s="276">
        <f>IF($P$4=2,M8,0)</f>
        <v>0</v>
      </c>
      <c r="N16" s="276">
        <f>IF($P$4=3,N8,0)</f>
        <v>0</v>
      </c>
      <c r="O16" s="276">
        <f>IF($P$4=4,O8,0)</f>
        <v>0</v>
      </c>
      <c r="P16" s="276">
        <f>SUM(L16:O16)</f>
        <v>100</v>
      </c>
      <c r="Q16" s="41"/>
    </row>
    <row r="17" spans="1:17" ht="12.75" customHeight="1">
      <c r="A17" s="249" t="s">
        <v>127</v>
      </c>
      <c r="B17" s="250"/>
      <c r="C17" s="962"/>
      <c r="D17" s="963"/>
      <c r="E17" s="964"/>
      <c r="F17" s="267"/>
      <c r="G17" s="268"/>
      <c r="H17" s="269"/>
      <c r="I17" s="267"/>
      <c r="J17" s="270"/>
      <c r="K17" s="41"/>
      <c r="L17" s="276">
        <f>IF($P$4=1,L9,0)</f>
        <v>100</v>
      </c>
      <c r="M17" s="276">
        <f>IF($P$4=2,M9,0)</f>
        <v>0</v>
      </c>
      <c r="N17" s="276">
        <f>IF($P$4=3,N9,0)</f>
        <v>0</v>
      </c>
      <c r="O17" s="276">
        <f>IF($P$4=4,O9,0)</f>
        <v>0</v>
      </c>
      <c r="P17" s="276">
        <f>SUM(L17:O17)</f>
        <v>100</v>
      </c>
      <c r="Q17" s="41"/>
    </row>
    <row r="18" spans="1:17" ht="12.75" customHeight="1">
      <c r="A18" s="249"/>
      <c r="B18" s="250"/>
      <c r="C18" s="962"/>
      <c r="D18" s="963"/>
      <c r="E18" s="964"/>
      <c r="F18" s="267"/>
      <c r="G18" s="268"/>
      <c r="H18" s="269"/>
      <c r="I18" s="267"/>
      <c r="J18" s="270"/>
      <c r="K18" s="41"/>
      <c r="L18" s="276">
        <f>IF($P$4=1,L10,0)</f>
        <v>0</v>
      </c>
      <c r="M18" s="276">
        <f>IF($P$4=2,M10,0)</f>
        <v>0</v>
      </c>
      <c r="N18" s="276">
        <f>IF($P$4=3,N10,0)</f>
        <v>0</v>
      </c>
      <c r="O18" s="276">
        <f>IF($P$4=4,O10,0)</f>
        <v>0</v>
      </c>
      <c r="P18" s="276">
        <f>SUM(L18:O18)</f>
        <v>0</v>
      </c>
      <c r="Q18" s="41"/>
    </row>
    <row r="19" spans="1:17" ht="12.75" customHeight="1">
      <c r="A19" s="249" t="s">
        <v>127</v>
      </c>
      <c r="B19" s="250"/>
      <c r="C19" s="962"/>
      <c r="D19" s="963"/>
      <c r="E19" s="964"/>
      <c r="F19" s="267"/>
      <c r="G19" s="268"/>
      <c r="H19" s="269"/>
      <c r="I19" s="267"/>
      <c r="J19" s="270"/>
      <c r="K19" s="41"/>
      <c r="L19" s="276">
        <f>IF($P$4=1,L11,0)</f>
        <v>0</v>
      </c>
      <c r="M19" s="276">
        <f>IF($P$4=2,M11,0)</f>
        <v>0</v>
      </c>
      <c r="N19" s="276">
        <f>IF($P$4=3,N11,0)</f>
        <v>0</v>
      </c>
      <c r="O19" s="276">
        <f>IF($P$4=4,O11,0)</f>
        <v>0</v>
      </c>
      <c r="P19" s="276">
        <f>SUM(L19:O19)</f>
        <v>0</v>
      </c>
      <c r="Q19" s="41"/>
    </row>
    <row r="20" spans="1:17" ht="12.75">
      <c r="A20" s="256" t="s">
        <v>127</v>
      </c>
      <c r="B20" s="257"/>
      <c r="C20" s="984"/>
      <c r="D20" s="985"/>
      <c r="E20" s="986"/>
      <c r="F20" s="277"/>
      <c r="G20" s="268">
        <f>'CRON GERAL'!AQ38</f>
        <v>0</v>
      </c>
      <c r="H20" s="278"/>
      <c r="I20" s="267">
        <f>'CRON GERAL'!AQ32</f>
        <v>0</v>
      </c>
      <c r="J20" s="279"/>
      <c r="K20" s="41"/>
      <c r="L20" s="41"/>
      <c r="M20" s="41"/>
      <c r="N20" s="41"/>
      <c r="O20" s="41"/>
      <c r="P20" s="41"/>
      <c r="Q20" s="41"/>
    </row>
    <row r="21" spans="1:17" ht="12.75">
      <c r="A21" s="987"/>
      <c r="B21" s="987"/>
      <c r="C21" s="280"/>
      <c r="D21" s="280"/>
      <c r="E21" s="280"/>
      <c r="F21" s="251" t="s">
        <v>35</v>
      </c>
      <c r="G21" s="261" t="s">
        <v>127</v>
      </c>
      <c r="H21" s="277" t="s">
        <v>127</v>
      </c>
      <c r="I21" s="261" t="s">
        <v>127</v>
      </c>
      <c r="J21" s="277" t="s">
        <v>127</v>
      </c>
      <c r="K21" s="41"/>
      <c r="L21" s="41"/>
      <c r="M21" s="41"/>
      <c r="N21" s="41"/>
      <c r="O21" s="41"/>
      <c r="P21" s="41"/>
      <c r="Q21" s="41"/>
    </row>
    <row r="22" spans="1:17" ht="12.75">
      <c r="A22" s="281"/>
      <c r="B22" s="282"/>
      <c r="C22" s="248"/>
      <c r="D22" s="248"/>
      <c r="E22" s="248"/>
      <c r="F22" s="248"/>
      <c r="G22" s="248"/>
      <c r="H22" s="248"/>
      <c r="I22" s="248"/>
      <c r="J22" s="248"/>
      <c r="K22" s="41"/>
      <c r="L22" s="41"/>
      <c r="M22" s="41"/>
      <c r="N22" s="41"/>
      <c r="O22" s="41"/>
      <c r="P22" s="41"/>
      <c r="Q22" s="41"/>
    </row>
    <row r="23" spans="1:17" ht="12.75">
      <c r="A23" s="988" t="s">
        <v>129</v>
      </c>
      <c r="B23" s="989"/>
      <c r="C23" s="989"/>
      <c r="D23" s="989"/>
      <c r="E23" s="989"/>
      <c r="F23" s="989"/>
      <c r="G23" s="989"/>
      <c r="H23" s="989"/>
      <c r="I23" s="989"/>
      <c r="J23" s="989"/>
      <c r="K23" s="41"/>
      <c r="L23" s="41"/>
      <c r="M23" s="41"/>
      <c r="N23" s="41"/>
      <c r="O23" s="41"/>
      <c r="P23" s="41"/>
      <c r="Q23" s="41"/>
    </row>
    <row r="24" spans="1:17" ht="12.75">
      <c r="A24" s="988"/>
      <c r="B24" s="989"/>
      <c r="C24" s="989"/>
      <c r="D24" s="989"/>
      <c r="E24" s="989"/>
      <c r="F24" s="989"/>
      <c r="G24" s="989"/>
      <c r="H24" s="989"/>
      <c r="I24" s="989"/>
      <c r="J24" s="989"/>
      <c r="K24" s="41"/>
      <c r="L24" s="41"/>
      <c r="M24" s="41"/>
      <c r="N24" s="41"/>
      <c r="O24" s="41"/>
      <c r="P24" s="41"/>
      <c r="Q24" s="41"/>
    </row>
    <row r="25" spans="1:17" ht="25.5" customHeight="1">
      <c r="A25" s="283" t="s">
        <v>111</v>
      </c>
      <c r="B25" s="283" t="s">
        <v>112</v>
      </c>
      <c r="C25" s="978" t="s">
        <v>130</v>
      </c>
      <c r="D25" s="979"/>
      <c r="E25" s="979"/>
      <c r="F25" s="980"/>
      <c r="G25" s="974" t="s">
        <v>131</v>
      </c>
      <c r="H25" s="979"/>
      <c r="I25" s="979"/>
      <c r="J25" s="980"/>
      <c r="K25" s="41"/>
      <c r="L25" s="41"/>
      <c r="M25" s="41"/>
      <c r="N25" s="41"/>
      <c r="O25" s="41"/>
      <c r="P25" s="41"/>
      <c r="Q25" s="41"/>
    </row>
    <row r="26" spans="1:17" ht="24">
      <c r="A26" s="257"/>
      <c r="B26" s="257"/>
      <c r="C26" s="261" t="s">
        <v>58</v>
      </c>
      <c r="D26" s="252" t="s">
        <v>132</v>
      </c>
      <c r="E26" s="261" t="s">
        <v>133</v>
      </c>
      <c r="F26" s="252" t="s">
        <v>35</v>
      </c>
      <c r="G26" s="261" t="s">
        <v>58</v>
      </c>
      <c r="H26" s="261" t="s">
        <v>132</v>
      </c>
      <c r="I26" s="261" t="s">
        <v>133</v>
      </c>
      <c r="J26" s="261" t="s">
        <v>35</v>
      </c>
      <c r="K26" s="41"/>
      <c r="L26" s="41"/>
      <c r="M26" s="41"/>
      <c r="N26" s="41"/>
      <c r="O26" s="41"/>
      <c r="P26" s="41"/>
      <c r="Q26" s="41"/>
    </row>
    <row r="27" spans="1:17" ht="12.75">
      <c r="A27" s="284" t="str">
        <f aca="true" t="shared" si="1" ref="A27:B40">A7</f>
        <v>     </v>
      </c>
      <c r="B27" s="285">
        <f t="shared" si="1"/>
        <v>1</v>
      </c>
      <c r="C27" s="286">
        <f>H7%*'CRON GERAL'!J19*('MEMÓRIA DE CÁLCULO'!G$7/'MEMÓRIA DE CÁLCULO'!G$6)</f>
        <v>0</v>
      </c>
      <c r="D27" s="286">
        <f>H7%*'CRON GERAL'!J19*('MEMÓRIA DE CÁLCULO'!G$8/'MEMÓRIA DE CÁLCULO'!G$6)</f>
        <v>0</v>
      </c>
      <c r="E27" s="287"/>
      <c r="F27" s="287">
        <f>E27+D27+C27</f>
        <v>0</v>
      </c>
      <c r="G27" s="288">
        <f>'CRON GERAL'!J19*J7%*('MEMÓRIA DE CÁLCULO'!G$7/'MEMÓRIA DE CÁLCULO'!G$6)</f>
        <v>0</v>
      </c>
      <c r="H27" s="288">
        <f>'CRON GERAL'!J19*J7%*('MEMÓRIA DE CÁLCULO'!G$8/'MEMÓRIA DE CÁLCULO'!G$6)</f>
        <v>0</v>
      </c>
      <c r="I27" s="287" t="s">
        <v>127</v>
      </c>
      <c r="J27" s="287">
        <f aca="true" t="shared" si="2" ref="J27:J40">H27+G27</f>
        <v>0</v>
      </c>
      <c r="K27" s="41"/>
      <c r="L27" s="41"/>
      <c r="M27" s="41"/>
      <c r="N27" s="41"/>
      <c r="O27" s="41"/>
      <c r="P27" s="41"/>
      <c r="Q27" s="41"/>
    </row>
    <row r="28" spans="1:17" ht="12.75">
      <c r="A28" s="284" t="str">
        <f t="shared" si="1"/>
        <v>     </v>
      </c>
      <c r="B28" s="285">
        <f t="shared" si="1"/>
        <v>2</v>
      </c>
      <c r="C28" s="286">
        <f>H8%*'CRON GERAL'!J20*('MEMÓRIA DE CÁLCULO'!G$7/'MEMÓRIA DE CÁLCULO'!G$6)</f>
        <v>19544.3899372857</v>
      </c>
      <c r="D28" s="286">
        <f>H8%*'CRON GERAL'!J20*('MEMÓRIA DE CÁLCULO'!G$8/'MEMÓRIA DE CÁLCULO'!G$6)</f>
        <v>82090.1922877143</v>
      </c>
      <c r="E28" s="287"/>
      <c r="F28" s="287">
        <f>E28+D28+C28</f>
        <v>101634.58222499999</v>
      </c>
      <c r="G28" s="288">
        <f>'CRON GERAL'!J20*J8%*('MEMÓRIA DE CÁLCULO'!G$7/'MEMÓRIA DE CÁLCULO'!G$6)</f>
        <v>19544.3899372857</v>
      </c>
      <c r="H28" s="288">
        <f>'CRON GERAL'!J20*J8%*('MEMÓRIA DE CÁLCULO'!G$8/'MEMÓRIA DE CÁLCULO'!G$6)</f>
        <v>82090.1922877143</v>
      </c>
      <c r="I28" s="287" t="s">
        <v>127</v>
      </c>
      <c r="J28" s="287">
        <f t="shared" si="2"/>
        <v>101634.58222499999</v>
      </c>
      <c r="K28" s="41"/>
      <c r="L28" s="41"/>
      <c r="M28" s="41"/>
      <c r="N28" s="41"/>
      <c r="O28" s="41"/>
      <c r="P28" s="41"/>
      <c r="Q28" s="41"/>
    </row>
    <row r="29" spans="1:17" ht="12.75">
      <c r="A29" s="284" t="str">
        <f t="shared" si="1"/>
        <v>     </v>
      </c>
      <c r="B29" s="285">
        <f t="shared" si="1"/>
        <v>4</v>
      </c>
      <c r="C29" s="286">
        <f>H9%*'CRON GERAL'!J21*('MEMÓRIA DE CÁLCULO'!G$7/'MEMÓRIA DE CÁLCULO'!G$6)</f>
        <v>10653.544733427823</v>
      </c>
      <c r="D29" s="286">
        <f>H9%*'CRON GERAL'!J21*('MEMÓRIA DE CÁLCULO'!G$8/'MEMÓRIA DE CÁLCULO'!G$6)</f>
        <v>44746.93446657217</v>
      </c>
      <c r="E29" s="287"/>
      <c r="F29" s="287">
        <f>E29+D29+C29</f>
        <v>55400.479199999994</v>
      </c>
      <c r="G29" s="288">
        <f>'CRON GERAL'!J21*J9%*('MEMÓRIA DE CÁLCULO'!G$7/'MEMÓRIA DE CÁLCULO'!G$6)</f>
        <v>10653.544733427823</v>
      </c>
      <c r="H29" s="288">
        <f>'CRON GERAL'!J21*J9%*('MEMÓRIA DE CÁLCULO'!G$8/'MEMÓRIA DE CÁLCULO'!G$6)</f>
        <v>44746.93446657217</v>
      </c>
      <c r="I29" s="287" t="s">
        <v>127</v>
      </c>
      <c r="J29" s="287">
        <f t="shared" si="2"/>
        <v>55400.479199999994</v>
      </c>
      <c r="K29" s="41"/>
      <c r="L29" s="41"/>
      <c r="M29" s="41"/>
      <c r="N29" s="41"/>
      <c r="O29" s="41"/>
      <c r="P29" s="41"/>
      <c r="Q29" s="41"/>
    </row>
    <row r="30" spans="1:17" ht="12.75">
      <c r="A30" s="284">
        <f t="shared" si="1"/>
        <v>0</v>
      </c>
      <c r="B30" s="285">
        <f t="shared" si="1"/>
        <v>5</v>
      </c>
      <c r="C30" s="286" t="e">
        <f>H10%*'CRON GERAL'!J22*('MEMÓRIA DE CÁLCULO'!G$7/'MEMÓRIA DE CÁLCULO'!G$6)</f>
        <v>#REF!</v>
      </c>
      <c r="D30" s="286" t="e">
        <f>H10%*'CRON GERAL'!J22*('MEMÓRIA DE CÁLCULO'!G$8/'MEMÓRIA DE CÁLCULO'!G$6)</f>
        <v>#REF!</v>
      </c>
      <c r="E30" s="287"/>
      <c r="F30" s="287" t="e">
        <f>E30+D30+C30</f>
        <v>#REF!</v>
      </c>
      <c r="G30" s="288" t="e">
        <f>'CRON GERAL'!J22*J10%*('MEMÓRIA DE CÁLCULO'!G$7/'MEMÓRIA DE CÁLCULO'!G$6)</f>
        <v>#REF!</v>
      </c>
      <c r="H30" s="288" t="e">
        <f>'CRON GERAL'!J22*J10%*('MEMÓRIA DE CÁLCULO'!G$8/'MEMÓRIA DE CÁLCULO'!G$6)</f>
        <v>#REF!</v>
      </c>
      <c r="I30" s="287" t="s">
        <v>127</v>
      </c>
      <c r="J30" s="287" t="e">
        <f t="shared" si="2"/>
        <v>#REF!</v>
      </c>
      <c r="K30" s="41"/>
      <c r="L30" s="41"/>
      <c r="M30" s="41"/>
      <c r="N30" s="41"/>
      <c r="O30" s="41"/>
      <c r="P30" s="41"/>
      <c r="Q30" s="41"/>
    </row>
    <row r="31" spans="1:17" ht="12.75">
      <c r="A31" s="284">
        <f t="shared" si="1"/>
        <v>0</v>
      </c>
      <c r="B31" s="285">
        <f t="shared" si="1"/>
        <v>0</v>
      </c>
      <c r="C31" s="286">
        <f>H11%*'CRON GERAL'!J23*('MEMÓRIA DE CÁLCULO'!G$7/'MEMÓRIA DE CÁLCULO'!G$6)</f>
        <v>0</v>
      </c>
      <c r="D31" s="286">
        <f>H11%*'CRON GERAL'!J23*('MEMÓRIA DE CÁLCULO'!G$8/'MEMÓRIA DE CÁLCULO'!G$6)</f>
        <v>0</v>
      </c>
      <c r="E31" s="287"/>
      <c r="F31" s="287">
        <f aca="true" t="shared" si="3" ref="F31:F40">E31+D31+C31</f>
        <v>0</v>
      </c>
      <c r="G31" s="288">
        <f>'CRON GERAL'!J23*J11%*('MEMÓRIA DE CÁLCULO'!G$7/'MEMÓRIA DE CÁLCULO'!G$6)</f>
        <v>0</v>
      </c>
      <c r="H31" s="288">
        <f>'CRON GERAL'!J23*J11%*('MEMÓRIA DE CÁLCULO'!G$8/'MEMÓRIA DE CÁLCULO'!G$6)</f>
        <v>0</v>
      </c>
      <c r="I31" s="287" t="s">
        <v>127</v>
      </c>
      <c r="J31" s="287">
        <f t="shared" si="2"/>
        <v>0</v>
      </c>
      <c r="K31" s="41"/>
      <c r="L31" s="41"/>
      <c r="M31" s="41"/>
      <c r="N31" s="41"/>
      <c r="O31" s="41"/>
      <c r="P31" s="41"/>
      <c r="Q31" s="41"/>
    </row>
    <row r="32" spans="1:17" ht="12.75">
      <c r="A32" s="284" t="str">
        <f t="shared" si="1"/>
        <v>     </v>
      </c>
      <c r="B32" s="285">
        <f t="shared" si="1"/>
        <v>0</v>
      </c>
      <c r="C32" s="286">
        <f>H12%*'CRON GERAL'!J24*('MEMÓRIA DE CÁLCULO'!G$7/'MEMÓRIA DE CÁLCULO'!G$6)</f>
        <v>0</v>
      </c>
      <c r="D32" s="286">
        <f>H12%*'CRON GERAL'!J24*('MEMÓRIA DE CÁLCULO'!G$8/'MEMÓRIA DE CÁLCULO'!G$6)</f>
        <v>0</v>
      </c>
      <c r="E32" s="287"/>
      <c r="F32" s="287">
        <f t="shared" si="3"/>
        <v>0</v>
      </c>
      <c r="G32" s="288">
        <f>'CRON GERAL'!J24*J12%*('MEMÓRIA DE CÁLCULO'!G$7/'MEMÓRIA DE CÁLCULO'!G$6)</f>
        <v>0</v>
      </c>
      <c r="H32" s="288">
        <f>'CRON GERAL'!J24*J12%*('MEMÓRIA DE CÁLCULO'!G$8/'MEMÓRIA DE CÁLCULO'!G$6)</f>
        <v>0</v>
      </c>
      <c r="I32" s="287" t="s">
        <v>127</v>
      </c>
      <c r="J32" s="287">
        <f t="shared" si="2"/>
        <v>0</v>
      </c>
      <c r="K32" s="41"/>
      <c r="L32" s="41"/>
      <c r="M32" s="41"/>
      <c r="N32" s="41"/>
      <c r="O32" s="41"/>
      <c r="P32" s="41"/>
      <c r="Q32" s="41"/>
    </row>
    <row r="33" spans="1:17" ht="12.75">
      <c r="A33" s="284" t="str">
        <f t="shared" si="1"/>
        <v>     </v>
      </c>
      <c r="B33" s="285">
        <f t="shared" si="1"/>
        <v>0</v>
      </c>
      <c r="C33" s="286">
        <f>H13%*'CRON GERAL'!J25*('MEMÓRIA DE CÁLCULO'!G$7/'MEMÓRIA DE CÁLCULO'!G$6)</f>
        <v>0</v>
      </c>
      <c r="D33" s="286">
        <f>H13%*'CRON GERAL'!J25*('MEMÓRIA DE CÁLCULO'!G$8/'MEMÓRIA DE CÁLCULO'!G$6)</f>
        <v>0</v>
      </c>
      <c r="E33" s="287"/>
      <c r="F33" s="287">
        <f t="shared" si="3"/>
        <v>0</v>
      </c>
      <c r="G33" s="288">
        <f>'CRON GERAL'!J25*J13%*('MEMÓRIA DE CÁLCULO'!G$7/'MEMÓRIA DE CÁLCULO'!G$6)</f>
        <v>0</v>
      </c>
      <c r="H33" s="288">
        <f>'CRON GERAL'!J25*J13%*('MEMÓRIA DE CÁLCULO'!G$8/'MEMÓRIA DE CÁLCULO'!G$6)</f>
        <v>0</v>
      </c>
      <c r="I33" s="287" t="s">
        <v>127</v>
      </c>
      <c r="J33" s="287">
        <f t="shared" si="2"/>
        <v>0</v>
      </c>
      <c r="K33" s="41"/>
      <c r="L33" s="41"/>
      <c r="M33" s="41"/>
      <c r="N33" s="41"/>
      <c r="O33" s="41"/>
      <c r="P33" s="41"/>
      <c r="Q33" s="41"/>
    </row>
    <row r="34" spans="1:17" ht="12.75">
      <c r="A34" s="284" t="str">
        <f t="shared" si="1"/>
        <v>     </v>
      </c>
      <c r="B34" s="285">
        <f t="shared" si="1"/>
        <v>0</v>
      </c>
      <c r="C34" s="286">
        <f>H14%*'CRON GERAL'!J26*('MEMÓRIA DE CÁLCULO'!G$7/'MEMÓRIA DE CÁLCULO'!G$6)</f>
        <v>0</v>
      </c>
      <c r="D34" s="286">
        <f>H14%*'CRON GERAL'!J26*('MEMÓRIA DE CÁLCULO'!G$8/'MEMÓRIA DE CÁLCULO'!G$6)</f>
        <v>0</v>
      </c>
      <c r="E34" s="287"/>
      <c r="F34" s="287">
        <f t="shared" si="3"/>
        <v>0</v>
      </c>
      <c r="G34" s="288">
        <f>'CRON GERAL'!J26*J14%*('MEMÓRIA DE CÁLCULO'!G$7/'MEMÓRIA DE CÁLCULO'!G$6)</f>
        <v>0</v>
      </c>
      <c r="H34" s="288">
        <f>'CRON GERAL'!J26*J14%*('MEMÓRIA DE CÁLCULO'!G$8/'MEMÓRIA DE CÁLCULO'!G$6)</f>
        <v>0</v>
      </c>
      <c r="I34" s="287" t="s">
        <v>127</v>
      </c>
      <c r="J34" s="287">
        <f t="shared" si="2"/>
        <v>0</v>
      </c>
      <c r="K34" s="41"/>
      <c r="L34" s="41"/>
      <c r="M34" s="41"/>
      <c r="N34" s="248"/>
      <c r="O34" s="41"/>
      <c r="P34" s="41"/>
      <c r="Q34" s="41"/>
    </row>
    <row r="35" spans="1:17" ht="12.75">
      <c r="A35" s="284" t="str">
        <f t="shared" si="1"/>
        <v>     </v>
      </c>
      <c r="B35" s="285">
        <f t="shared" si="1"/>
        <v>0</v>
      </c>
      <c r="C35" s="286">
        <f>H15%*'CRON GERAL'!J27*('MEMÓRIA DE CÁLCULO'!G$7/'MEMÓRIA DE CÁLCULO'!G$6)</f>
        <v>0</v>
      </c>
      <c r="D35" s="286">
        <f>H15%*'CRON GERAL'!J27*('MEMÓRIA DE CÁLCULO'!G$8/'MEMÓRIA DE CÁLCULO'!G$6)</f>
        <v>0</v>
      </c>
      <c r="E35" s="287"/>
      <c r="F35" s="287">
        <f t="shared" si="3"/>
        <v>0</v>
      </c>
      <c r="G35" s="288">
        <f>'CRON GERAL'!J27*J15%*('MEMÓRIA DE CÁLCULO'!G$7/'MEMÓRIA DE CÁLCULO'!G$6)</f>
        <v>0</v>
      </c>
      <c r="H35" s="288">
        <f>'CRON GERAL'!J27*J15%*('MEMÓRIA DE CÁLCULO'!G$8/'MEMÓRIA DE CÁLCULO'!G$6)</f>
        <v>0</v>
      </c>
      <c r="I35" s="287" t="s">
        <v>127</v>
      </c>
      <c r="J35" s="287">
        <f t="shared" si="2"/>
        <v>0</v>
      </c>
      <c r="K35" s="41"/>
      <c r="L35" s="41"/>
      <c r="M35" s="41"/>
      <c r="N35" s="248"/>
      <c r="O35" s="41"/>
      <c r="P35" s="41"/>
      <c r="Q35" s="41"/>
    </row>
    <row r="36" spans="1:17" ht="12.75">
      <c r="A36" s="284" t="str">
        <f t="shared" si="1"/>
        <v>     </v>
      </c>
      <c r="B36" s="285">
        <f t="shared" si="1"/>
        <v>0</v>
      </c>
      <c r="C36" s="286">
        <f>H16%*'CRON GERAL'!J28*('MEMÓRIA DE CÁLCULO'!G$7/'MEMÓRIA DE CÁLCULO'!G$6)</f>
        <v>0</v>
      </c>
      <c r="D36" s="286">
        <f>H16%*'CRON GERAL'!J28*('MEMÓRIA DE CÁLCULO'!G$8/'MEMÓRIA DE CÁLCULO'!G$6)</f>
        <v>0</v>
      </c>
      <c r="E36" s="287"/>
      <c r="F36" s="287">
        <f t="shared" si="3"/>
        <v>0</v>
      </c>
      <c r="G36" s="288">
        <f>'CRON GERAL'!J28*J16%*('MEMÓRIA DE CÁLCULO'!G$7/'MEMÓRIA DE CÁLCULO'!G$6)</f>
        <v>0</v>
      </c>
      <c r="H36" s="288">
        <f>'CRON GERAL'!J28*J16%*('MEMÓRIA DE CÁLCULO'!G$8/'MEMÓRIA DE CÁLCULO'!G$6)</f>
        <v>0</v>
      </c>
      <c r="I36" s="287" t="s">
        <v>127</v>
      </c>
      <c r="J36" s="287">
        <f t="shared" si="2"/>
        <v>0</v>
      </c>
      <c r="K36" s="41"/>
      <c r="L36" s="41"/>
      <c r="M36" s="41"/>
      <c r="N36" s="248"/>
      <c r="O36" s="41"/>
      <c r="P36" s="41"/>
      <c r="Q36" s="41"/>
    </row>
    <row r="37" spans="1:17" ht="12.75">
      <c r="A37" s="284" t="str">
        <f t="shared" si="1"/>
        <v>     </v>
      </c>
      <c r="B37" s="285">
        <f t="shared" si="1"/>
        <v>0</v>
      </c>
      <c r="C37" s="286">
        <f>H17%*'CRON GERAL'!J29*('MEMÓRIA DE CÁLCULO'!G$7/'MEMÓRIA DE CÁLCULO'!G$6)</f>
        <v>0</v>
      </c>
      <c r="D37" s="286">
        <f>H17%*'CRON GERAL'!J29*('MEMÓRIA DE CÁLCULO'!G$8/'MEMÓRIA DE CÁLCULO'!G$6)</f>
        <v>0</v>
      </c>
      <c r="E37" s="287"/>
      <c r="F37" s="287">
        <f t="shared" si="3"/>
        <v>0</v>
      </c>
      <c r="G37" s="288">
        <f>'CRON GERAL'!J29*J17%*('MEMÓRIA DE CÁLCULO'!G$7/'MEMÓRIA DE CÁLCULO'!G$6)</f>
        <v>0</v>
      </c>
      <c r="H37" s="288">
        <f>'CRON GERAL'!J29*J17%*('MEMÓRIA DE CÁLCULO'!G$8/'MEMÓRIA DE CÁLCULO'!G$6)</f>
        <v>0</v>
      </c>
      <c r="I37" s="287" t="s">
        <v>127</v>
      </c>
      <c r="J37" s="287">
        <f t="shared" si="2"/>
        <v>0</v>
      </c>
      <c r="K37" s="41"/>
      <c r="L37" s="41"/>
      <c r="M37" s="41"/>
      <c r="N37" s="248"/>
      <c r="O37" s="41"/>
      <c r="P37" s="41"/>
      <c r="Q37" s="41"/>
    </row>
    <row r="38" spans="1:17" ht="12.75">
      <c r="A38" s="284">
        <f t="shared" si="1"/>
        <v>0</v>
      </c>
      <c r="B38" s="285">
        <f t="shared" si="1"/>
        <v>0</v>
      </c>
      <c r="C38" s="286">
        <f>H18%*'CRON GERAL'!J30*('MEMÓRIA DE CÁLCULO'!G$7/'MEMÓRIA DE CÁLCULO'!G$6)</f>
        <v>0</v>
      </c>
      <c r="D38" s="286">
        <f>H18%*'CRON GERAL'!J30*('MEMÓRIA DE CÁLCULO'!G$8/'MEMÓRIA DE CÁLCULO'!G$6)</f>
        <v>0</v>
      </c>
      <c r="E38" s="287"/>
      <c r="F38" s="287">
        <f t="shared" si="3"/>
        <v>0</v>
      </c>
      <c r="G38" s="288">
        <f>'CRON GERAL'!J30*J18%*('MEMÓRIA DE CÁLCULO'!G$7/'MEMÓRIA DE CÁLCULO'!G$6)</f>
        <v>0</v>
      </c>
      <c r="H38" s="288">
        <f>'CRON GERAL'!J30*J18%*('MEMÓRIA DE CÁLCULO'!G$8/'MEMÓRIA DE CÁLCULO'!G$6)</f>
        <v>0</v>
      </c>
      <c r="I38" s="287" t="s">
        <v>127</v>
      </c>
      <c r="J38" s="287">
        <f t="shared" si="2"/>
        <v>0</v>
      </c>
      <c r="K38" s="41"/>
      <c r="L38" s="41"/>
      <c r="M38" s="41"/>
      <c r="N38" s="248"/>
      <c r="O38" s="41"/>
      <c r="P38" s="41"/>
      <c r="Q38" s="41"/>
    </row>
    <row r="39" spans="1:17" ht="12.75">
      <c r="A39" s="284" t="str">
        <f t="shared" si="1"/>
        <v>     </v>
      </c>
      <c r="B39" s="285">
        <f t="shared" si="1"/>
        <v>0</v>
      </c>
      <c r="C39" s="286" t="e">
        <f>H19%*'CRON GERAL'!J31*('MEMÓRIA DE CÁLCULO'!G$7/'MEMÓRIA DE CÁLCULO'!G$6)</f>
        <v>#REF!</v>
      </c>
      <c r="D39" s="286" t="e">
        <f>H19%*'CRON GERAL'!J31*('MEMÓRIA DE CÁLCULO'!G$8/'MEMÓRIA DE CÁLCULO'!G$6)</f>
        <v>#REF!</v>
      </c>
      <c r="E39" s="287"/>
      <c r="F39" s="287" t="e">
        <f t="shared" si="3"/>
        <v>#REF!</v>
      </c>
      <c r="G39" s="288" t="e">
        <f>'CRON GERAL'!J31*J19%*('MEMÓRIA DE CÁLCULO'!G$7/'MEMÓRIA DE CÁLCULO'!G$6)</f>
        <v>#REF!</v>
      </c>
      <c r="H39" s="288" t="e">
        <f>'CRON GERAL'!J31*J19%*('MEMÓRIA DE CÁLCULO'!G$8/'MEMÓRIA DE CÁLCULO'!G$6)</f>
        <v>#REF!</v>
      </c>
      <c r="I39" s="287" t="s">
        <v>127</v>
      </c>
      <c r="J39" s="287" t="e">
        <f t="shared" si="2"/>
        <v>#REF!</v>
      </c>
      <c r="K39" s="41"/>
      <c r="L39" s="41"/>
      <c r="M39" s="41"/>
      <c r="N39" s="41"/>
      <c r="O39" s="41"/>
      <c r="P39" s="41"/>
      <c r="Q39" s="41"/>
    </row>
    <row r="40" spans="1:17" ht="12.75">
      <c r="A40" s="289" t="str">
        <f t="shared" si="1"/>
        <v>     </v>
      </c>
      <c r="B40" s="290">
        <f t="shared" si="1"/>
        <v>0</v>
      </c>
      <c r="C40" s="286" t="e">
        <f>H20%*'CRON GERAL'!J32*('MEMÓRIA DE CÁLCULO'!G$7/'MEMÓRIA DE CÁLCULO'!G$6)</f>
        <v>#REF!</v>
      </c>
      <c r="D40" s="287">
        <f>H20%*'[1]CRONO GERA'!J35*'[1]MEMÓRIA DE CÁLCULO'!G$8/'[1]MEMÓRIA DE CÁLCULO'!G$6</f>
        <v>0</v>
      </c>
      <c r="E40" s="287"/>
      <c r="F40" s="287" t="e">
        <f t="shared" si="3"/>
        <v>#REF!</v>
      </c>
      <c r="G40" s="288" t="e">
        <f>'CRON GERAL'!J32*J20%*('MEMÓRIA DE CÁLCULO'!G$7/'MEMÓRIA DE CÁLCULO'!G$6)</f>
        <v>#REF!</v>
      </c>
      <c r="H40" s="287">
        <f>'[1]CRONO GERA'!J35*J20%*'[1]MEMÓRIA DE CÁLCULO'!G$8/'[1]MEMÓRIA DE CÁLCULO'!G$6</f>
        <v>0</v>
      </c>
      <c r="I40" s="287" t="s">
        <v>127</v>
      </c>
      <c r="J40" s="287" t="e">
        <f t="shared" si="2"/>
        <v>#REF!</v>
      </c>
      <c r="K40" s="41"/>
      <c r="L40" s="41"/>
      <c r="M40" s="41"/>
      <c r="N40" s="41"/>
      <c r="O40" s="41"/>
      <c r="P40" s="41"/>
      <c r="Q40" s="41"/>
    </row>
    <row r="41" spans="1:17" ht="12.75">
      <c r="A41" s="996" t="s">
        <v>35</v>
      </c>
      <c r="B41" s="997"/>
      <c r="C41" s="291" t="e">
        <f>SUM(C27:C40)</f>
        <v>#REF!</v>
      </c>
      <c r="D41" s="291" t="e">
        <f>SUM(D27:D40)</f>
        <v>#REF!</v>
      </c>
      <c r="E41" s="291"/>
      <c r="F41" s="292" t="e">
        <f>SUM(F27:F40)</f>
        <v>#REF!</v>
      </c>
      <c r="G41" s="291" t="e">
        <f>SUM(G27:G40)</f>
        <v>#REF!</v>
      </c>
      <c r="H41" s="291" t="e">
        <f>SUM(H27:H40)</f>
        <v>#REF!</v>
      </c>
      <c r="I41" s="291" t="s">
        <v>127</v>
      </c>
      <c r="J41" s="291" t="e">
        <f>SUM(J27:J40)</f>
        <v>#REF!</v>
      </c>
      <c r="K41" s="41"/>
      <c r="L41" s="41"/>
      <c r="M41" s="41"/>
      <c r="N41" s="41"/>
      <c r="O41" s="41"/>
      <c r="P41" s="41"/>
      <c r="Q41" s="41"/>
    </row>
    <row r="42" spans="1:17" ht="12.75">
      <c r="A42" s="281"/>
      <c r="B42" s="282"/>
      <c r="C42" s="248"/>
      <c r="D42" s="248"/>
      <c r="E42" s="248"/>
      <c r="F42" s="248"/>
      <c r="G42" s="248"/>
      <c r="H42" s="248"/>
      <c r="I42" s="248"/>
      <c r="J42" s="248"/>
      <c r="K42" s="41"/>
      <c r="L42" s="41"/>
      <c r="M42" s="41"/>
      <c r="N42" s="41"/>
      <c r="O42" s="41"/>
      <c r="P42" s="41"/>
      <c r="Q42" s="41"/>
    </row>
    <row r="43" spans="1:17" ht="12.75">
      <c r="A43" s="293"/>
      <c r="B43" s="294"/>
      <c r="C43" s="248"/>
      <c r="D43" s="248"/>
      <c r="E43" s="248"/>
      <c r="F43" s="248"/>
      <c r="G43" s="248"/>
      <c r="H43" s="248"/>
      <c r="I43" s="248"/>
      <c r="J43" s="248"/>
      <c r="K43" s="41"/>
      <c r="L43" s="41"/>
      <c r="M43" s="41"/>
      <c r="N43" s="41"/>
      <c r="O43" s="41"/>
      <c r="P43" s="41"/>
      <c r="Q43" s="41"/>
    </row>
    <row r="44" spans="1:17" ht="12.75">
      <c r="A44" s="281"/>
      <c r="B44" s="282"/>
      <c r="C44" s="248"/>
      <c r="D44" s="248"/>
      <c r="E44" s="248"/>
      <c r="F44" s="248"/>
      <c r="G44" s="248"/>
      <c r="H44" s="248"/>
      <c r="I44" s="248"/>
      <c r="J44" s="248"/>
      <c r="K44" s="41"/>
      <c r="L44" s="41"/>
      <c r="M44" s="41"/>
      <c r="N44" s="41"/>
      <c r="O44" s="41"/>
      <c r="P44" s="41"/>
      <c r="Q44" s="41"/>
    </row>
    <row r="45" spans="1:17" ht="12.75">
      <c r="A45" s="998" t="s">
        <v>134</v>
      </c>
      <c r="B45" s="999"/>
      <c r="C45" s="1000" t="str">
        <f>'MEMÓRIA DE CÁLCULO'!B1</f>
        <v>UBIRAJARA</v>
      </c>
      <c r="D45" s="1001"/>
      <c r="E45" s="1002"/>
      <c r="F45" s="955" t="str">
        <f>'PLANILHA '!E50</f>
        <v>ENGº    AGOSTINHO DE BARROS TENDOLO</v>
      </c>
      <c r="G45" s="956"/>
      <c r="H45" s="956"/>
      <c r="I45" s="956"/>
      <c r="J45" s="957"/>
      <c r="K45" s="41"/>
      <c r="L45" s="41"/>
      <c r="M45" s="41"/>
      <c r="N45" s="41"/>
      <c r="O45" s="41"/>
      <c r="P45" s="41"/>
      <c r="Q45" s="41"/>
    </row>
    <row r="46" spans="1:17" ht="12.75">
      <c r="A46" s="1003">
        <f>'PLANILHA '!H50</f>
        <v>0</v>
      </c>
      <c r="B46" s="1000"/>
      <c r="C46" s="1000"/>
      <c r="D46" s="1000"/>
      <c r="E46" s="1002"/>
      <c r="F46" s="955" t="str">
        <f>'PLANILHA '!E51</f>
        <v>CREA Nº. 0600542176</v>
      </c>
      <c r="G46" s="956"/>
      <c r="H46" s="956"/>
      <c r="I46" s="956"/>
      <c r="J46" s="957"/>
      <c r="K46" s="41"/>
      <c r="L46" s="41"/>
      <c r="M46" s="41"/>
      <c r="N46" s="41"/>
      <c r="O46" s="41"/>
      <c r="P46" s="41"/>
      <c r="Q46" s="41"/>
    </row>
    <row r="47" spans="1:17" ht="12.75">
      <c r="A47" s="990" t="str">
        <f>'PLANILHA '!H51</f>
        <v> PREFEITURA  MUNCIPAL   DE   AGUDOS</v>
      </c>
      <c r="B47" s="991"/>
      <c r="C47" s="991"/>
      <c r="D47" s="991"/>
      <c r="E47" s="992"/>
      <c r="F47" s="993" t="s">
        <v>135</v>
      </c>
      <c r="G47" s="994"/>
      <c r="H47" s="994"/>
      <c r="I47" s="994"/>
      <c r="J47" s="995"/>
      <c r="K47" s="41"/>
      <c r="L47" s="41"/>
      <c r="M47" s="41"/>
      <c r="N47" s="41"/>
      <c r="O47" s="41"/>
      <c r="P47" s="41"/>
      <c r="Q47" s="41"/>
    </row>
    <row r="48" spans="1:17" ht="12.75">
      <c r="A48" s="282"/>
      <c r="B48" s="282"/>
      <c r="C48" s="248"/>
      <c r="D48" s="248"/>
      <c r="E48" s="248"/>
      <c r="F48" s="248"/>
      <c r="G48" s="248"/>
      <c r="H48" s="248"/>
      <c r="I48" s="248"/>
      <c r="J48" s="248"/>
      <c r="K48" s="41"/>
      <c r="L48" s="41"/>
      <c r="M48" s="41"/>
      <c r="N48" s="41"/>
      <c r="O48" s="41"/>
      <c r="P48" s="41"/>
      <c r="Q48" s="41"/>
    </row>
  </sheetData>
  <sheetProtection password="DDEF" sheet="1" objects="1" scenarios="1"/>
  <mergeCells count="39">
    <mergeCell ref="A21:B21"/>
    <mergeCell ref="A23:J24"/>
    <mergeCell ref="A47:E47"/>
    <mergeCell ref="F47:J47"/>
    <mergeCell ref="A41:B41"/>
    <mergeCell ref="A45:B45"/>
    <mergeCell ref="C45:E45"/>
    <mergeCell ref="F45:J45"/>
    <mergeCell ref="A46:E46"/>
    <mergeCell ref="F46:J46"/>
    <mergeCell ref="C25:F25"/>
    <mergeCell ref="G25:J25"/>
    <mergeCell ref="L13:P13"/>
    <mergeCell ref="C14:E14"/>
    <mergeCell ref="C15:E15"/>
    <mergeCell ref="C16:E16"/>
    <mergeCell ref="C17:E17"/>
    <mergeCell ref="C18:E18"/>
    <mergeCell ref="C19:E19"/>
    <mergeCell ref="C20:E20"/>
    <mergeCell ref="C8:E8"/>
    <mergeCell ref="C9:E9"/>
    <mergeCell ref="C10:E10"/>
    <mergeCell ref="C11:E11"/>
    <mergeCell ref="C12:E12"/>
    <mergeCell ref="C13:E13"/>
    <mergeCell ref="L3:P3"/>
    <mergeCell ref="C4:E4"/>
    <mergeCell ref="F4:J4"/>
    <mergeCell ref="L4:O4"/>
    <mergeCell ref="G5:H5"/>
    <mergeCell ref="I5:J5"/>
    <mergeCell ref="L5:P5"/>
    <mergeCell ref="A1:F1"/>
    <mergeCell ref="G1:H1"/>
    <mergeCell ref="I1:J1"/>
    <mergeCell ref="A2:C2"/>
    <mergeCell ref="D2:F2"/>
    <mergeCell ref="C7:E7"/>
  </mergeCells>
  <conditionalFormatting sqref="P7:P11">
    <cfRule type="cellIs" priority="1" dxfId="0" operator="greaterThan" stopIfTrue="1">
      <formula>100</formula>
    </cfRule>
  </conditionalFormatting>
  <printOptions/>
  <pageMargins left="0.7874015748031497" right="0.7874015748031497" top="1.771653543307086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Beane</dc:creator>
  <cp:keywords/>
  <dc:description/>
  <cp:lastModifiedBy>Machado</cp:lastModifiedBy>
  <cp:lastPrinted>2016-04-15T12:46:42Z</cp:lastPrinted>
  <dcterms:created xsi:type="dcterms:W3CDTF">2006-04-26T17:59:54Z</dcterms:created>
  <dcterms:modified xsi:type="dcterms:W3CDTF">2016-05-11T15:29:21Z</dcterms:modified>
  <cp:category/>
  <cp:version/>
  <cp:contentType/>
  <cp:contentStatus/>
</cp:coreProperties>
</file>