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obras.agudos\OBRAS\server\LUCAS\2022\VILA DA ESPERANÇA KIT NET\"/>
    </mc:Choice>
  </mc:AlternateContent>
  <bookViews>
    <workbookView minimized="1" xWindow="0" yWindow="0" windowWidth="20490" windowHeight="7620"/>
  </bookViews>
  <sheets>
    <sheet name="ORÇAMENTO" sheetId="1" r:id="rId1"/>
    <sheet name="Planilha1" sheetId="2" r:id="rId2"/>
    <sheet name="Planilha2" sheetId="3" r:id="rId3"/>
  </sheets>
  <externalReferences>
    <externalReference r:id="rId4"/>
  </externalReferences>
  <definedNames>
    <definedName name="_xlnm.Print_Area" localSheetId="0">ORÇAMENTO!$A$1:$L$81</definedName>
    <definedName name="_xlnm.Database">#REF!</definedName>
    <definedName name="FDE">ORÇAMENTO!$A$6:$H$68</definedName>
  </definedNames>
  <calcPr calcId="162913"/>
  <fileRecoveryPr repairLoad="1"/>
</workbook>
</file>

<file path=xl/calcChain.xml><?xml version="1.0" encoding="utf-8"?>
<calcChain xmlns="http://schemas.openxmlformats.org/spreadsheetml/2006/main">
  <c r="D15" i="3" l="1"/>
  <c r="G9" i="3"/>
  <c r="E9" i="3"/>
  <c r="F9" i="3"/>
  <c r="I24" i="1"/>
  <c r="D9" i="3"/>
  <c r="H24" i="1"/>
  <c r="H55" i="1"/>
  <c r="O14" i="3"/>
  <c r="P14" i="3"/>
  <c r="G14" i="3"/>
  <c r="H14" i="3"/>
  <c r="I14" i="3"/>
  <c r="J14" i="3"/>
  <c r="K14" i="3"/>
  <c r="L14" i="3"/>
  <c r="M14" i="3"/>
  <c r="N14" i="3"/>
  <c r="E14" i="3"/>
  <c r="J8" i="3"/>
  <c r="I8" i="3"/>
  <c r="H8" i="3"/>
  <c r="G8" i="3"/>
  <c r="D8" i="3"/>
  <c r="C8" i="3"/>
  <c r="B8" i="3"/>
  <c r="E12" i="3"/>
  <c r="D12" i="3"/>
  <c r="N13" i="3"/>
  <c r="O13" i="3" s="1"/>
  <c r="B13" i="3"/>
  <c r="D13" i="3"/>
  <c r="F12" i="3"/>
  <c r="C12" i="3"/>
  <c r="B12" i="3"/>
  <c r="D11" i="3"/>
  <c r="H11" i="3" s="1"/>
  <c r="C11" i="3"/>
  <c r="B11" i="3"/>
  <c r="G10" i="3"/>
  <c r="C10" i="3"/>
  <c r="D10" i="3"/>
  <c r="B10" i="3"/>
  <c r="H23" i="1"/>
  <c r="I23" i="1" s="1"/>
  <c r="C9" i="3"/>
  <c r="B9" i="3"/>
  <c r="B7" i="3"/>
  <c r="B6" i="3"/>
  <c r="A4" i="3"/>
  <c r="A3" i="3"/>
  <c r="D20" i="3"/>
  <c r="A2" i="3"/>
  <c r="H54" i="1"/>
  <c r="I54" i="1" s="1"/>
  <c r="H53" i="1"/>
  <c r="I53" i="1" s="1"/>
  <c r="H52" i="1"/>
  <c r="H51" i="1"/>
  <c r="H50" i="1"/>
  <c r="I50" i="1" s="1"/>
  <c r="H49" i="1"/>
  <c r="H48" i="1"/>
  <c r="E46" i="1"/>
  <c r="H46" i="1" s="1"/>
  <c r="I46" i="1" s="1"/>
  <c r="I42" i="1"/>
  <c r="F14" i="3" l="1"/>
  <c r="P13" i="3"/>
  <c r="G11" i="3"/>
  <c r="G12" i="3"/>
  <c r="H12" i="3" s="1"/>
  <c r="I12" i="3" s="1"/>
  <c r="J12" i="3" s="1"/>
  <c r="I52" i="1"/>
  <c r="I51" i="1"/>
  <c r="I49" i="1"/>
  <c r="I48" i="1"/>
  <c r="H45" i="1"/>
  <c r="I45" i="1" s="1"/>
  <c r="E19" i="1"/>
  <c r="K12" i="3" l="1"/>
  <c r="H67" i="1"/>
  <c r="I67" i="1" s="1"/>
  <c r="E66" i="1"/>
  <c r="H66" i="1" s="1"/>
  <c r="I66" i="1" s="1"/>
  <c r="D65" i="2"/>
  <c r="C65" i="2"/>
  <c r="C64" i="2"/>
  <c r="E64" i="1"/>
  <c r="H64" i="1" s="1"/>
  <c r="I64" i="1" s="1"/>
  <c r="J64" i="1" s="1"/>
  <c r="E62" i="1"/>
  <c r="H62" i="1" s="1"/>
  <c r="I62" i="1" s="1"/>
  <c r="J62" i="1" s="1"/>
  <c r="E61" i="1"/>
  <c r="H61" i="1" s="1"/>
  <c r="I61" i="1" s="1"/>
  <c r="B52" i="2"/>
  <c r="H60" i="1"/>
  <c r="J57" i="2"/>
  <c r="B60" i="2"/>
  <c r="B59" i="2"/>
  <c r="B58" i="2"/>
  <c r="J56" i="2"/>
  <c r="J53" i="2"/>
  <c r="I53" i="2"/>
  <c r="J52" i="2"/>
  <c r="B49" i="2"/>
  <c r="B55" i="2"/>
  <c r="B54" i="2"/>
  <c r="E57" i="1"/>
  <c r="H57" i="1" s="1"/>
  <c r="I57" i="1" s="1"/>
  <c r="F24" i="2"/>
  <c r="F26" i="2"/>
  <c r="F27" i="2"/>
  <c r="F28" i="2"/>
  <c r="F29" i="2"/>
  <c r="F23" i="2"/>
  <c r="F22" i="2"/>
  <c r="E44" i="1"/>
  <c r="H44" i="1" s="1"/>
  <c r="I44" i="1" s="1"/>
  <c r="N42" i="2"/>
  <c r="H43" i="1"/>
  <c r="I43" i="1" s="1"/>
  <c r="J41" i="2"/>
  <c r="H41" i="1"/>
  <c r="I41" i="1" s="1"/>
  <c r="E40" i="1"/>
  <c r="H40" i="1" s="1"/>
  <c r="I40" i="1" s="1"/>
  <c r="E39" i="1"/>
  <c r="H39" i="1" s="1"/>
  <c r="I39" i="1" s="1"/>
  <c r="E38" i="1"/>
  <c r="H38" i="1" s="1"/>
  <c r="I38" i="1" s="1"/>
  <c r="E43" i="2"/>
  <c r="D32" i="2"/>
  <c r="E37" i="1"/>
  <c r="H37" i="1" s="1"/>
  <c r="I37" i="1" s="1"/>
  <c r="L10" i="2"/>
  <c r="T10" i="2"/>
  <c r="T9" i="2"/>
  <c r="J13" i="2"/>
  <c r="J10" i="2"/>
  <c r="J8" i="2"/>
  <c r="E36" i="1"/>
  <c r="H36" i="1" s="1"/>
  <c r="I36" i="1" s="1"/>
  <c r="J3" i="2"/>
  <c r="B19" i="2"/>
  <c r="K17" i="2"/>
  <c r="B13" i="2"/>
  <c r="F42" i="2"/>
  <c r="F41" i="2"/>
  <c r="F40" i="2"/>
  <c r="B8" i="2"/>
  <c r="E35" i="1" s="1"/>
  <c r="H35" i="1" s="1"/>
  <c r="L12" i="3" l="1"/>
  <c r="M12" i="3"/>
  <c r="I60" i="1"/>
  <c r="I35" i="1"/>
  <c r="E65" i="1"/>
  <c r="H65" i="1" s="1"/>
  <c r="I65" i="1" s="1"/>
  <c r="E63" i="1"/>
  <c r="H63" i="1" s="1"/>
  <c r="H68" i="1" s="1"/>
  <c r="H58" i="1"/>
  <c r="I58" i="1"/>
  <c r="H47" i="1"/>
  <c r="H27" i="1"/>
  <c r="I27" i="1" s="1"/>
  <c r="H28" i="1"/>
  <c r="I28" i="1" s="1"/>
  <c r="H29" i="1"/>
  <c r="I29" i="1" s="1"/>
  <c r="H32" i="1"/>
  <c r="I47" i="1" l="1"/>
  <c r="I55" i="1" s="1"/>
  <c r="H33" i="1"/>
  <c r="I32" i="1"/>
  <c r="I33" i="1" s="1"/>
  <c r="I68" i="1"/>
  <c r="I63" i="1"/>
  <c r="H11" i="1"/>
  <c r="I11" i="1" s="1"/>
  <c r="H22" i="1" l="1"/>
  <c r="I22" i="1" s="1"/>
  <c r="E18" i="1"/>
  <c r="H18" i="1" s="1"/>
  <c r="I18" i="1" s="1"/>
  <c r="H19" i="1"/>
  <c r="I19" i="1" s="1"/>
  <c r="I20" i="1" l="1"/>
  <c r="H20" i="1"/>
  <c r="H15" i="1"/>
  <c r="I15" i="1" s="1"/>
  <c r="E4" i="2"/>
  <c r="E14" i="1"/>
  <c r="C7" i="3" s="1"/>
  <c r="E10" i="1"/>
  <c r="C6" i="3" s="1"/>
  <c r="H10" i="1" l="1"/>
  <c r="I10" i="1" s="1"/>
  <c r="H14" i="1" l="1"/>
  <c r="I14" i="1" s="1"/>
  <c r="H16" i="1" l="1"/>
  <c r="I16" i="1"/>
  <c r="D7" i="3" s="1"/>
  <c r="H9" i="1"/>
  <c r="E7" i="3" l="1"/>
  <c r="F7" i="3"/>
  <c r="H12" i="1"/>
  <c r="I9" i="1"/>
  <c r="I12" i="1" s="1"/>
  <c r="D6" i="3" s="1"/>
  <c r="H26" i="1"/>
  <c r="E6" i="3" l="1"/>
  <c r="D14" i="3"/>
  <c r="H30" i="1"/>
  <c r="I30" i="1" s="1"/>
  <c r="I26" i="1"/>
  <c r="G69" i="1" l="1"/>
  <c r="G70" i="1" s="1"/>
</calcChain>
</file>

<file path=xl/sharedStrings.xml><?xml version="1.0" encoding="utf-8"?>
<sst xmlns="http://schemas.openxmlformats.org/spreadsheetml/2006/main" count="343" uniqueCount="210">
  <si>
    <t>CÓDIGO</t>
  </si>
  <si>
    <t>TOTAL</t>
  </si>
  <si>
    <t>QUANT</t>
  </si>
  <si>
    <t>UN</t>
  </si>
  <si>
    <t>PREÇO TOTAL</t>
  </si>
  <si>
    <t>TOTAL DO ITEM</t>
  </si>
  <si>
    <t>DISCRIMINAÇÃO DOS SERVIÇOS</t>
  </si>
  <si>
    <t>FONTE</t>
  </si>
  <si>
    <t>ITENS</t>
  </si>
  <si>
    <t>1.1</t>
  </si>
  <si>
    <t>2.1</t>
  </si>
  <si>
    <t>3.1</t>
  </si>
  <si>
    <t xml:space="preserve">TOTAL COM BDI </t>
  </si>
  <si>
    <t>CDHU</t>
  </si>
  <si>
    <t>PREFEITURA MUNICIPAL DE AGUDOS</t>
  </si>
  <si>
    <t>GUIAS E SARJETAS</t>
  </si>
  <si>
    <t>Base em concreto com fck de 25 MPa, para guias, sarjetas ou sarjetões</t>
  </si>
  <si>
    <t>54.06.110</t>
  </si>
  <si>
    <t>1.2</t>
  </si>
  <si>
    <t>Guia pré‐moldada reta tipo PMSP 100 ‐ fck 25 Mpa</t>
  </si>
  <si>
    <t>54.06.040</t>
  </si>
  <si>
    <t>M</t>
  </si>
  <si>
    <t>TELHAMAENTO METÁLICO COMUM</t>
  </si>
  <si>
    <t>Telhamento em chapa de aço pré‐pintada com epóxi e poliéster, perfil trapezoidal, com espessura de 0,80 mm e altura de 100 mm</t>
  </si>
  <si>
    <t>16.12.050</t>
  </si>
  <si>
    <t>M²</t>
  </si>
  <si>
    <t>M³</t>
  </si>
  <si>
    <t>VAGAS ESTACIONAMENTO EM CONCRETO</t>
  </si>
  <si>
    <t>Concreto usinado, fck = 25 Mpa</t>
  </si>
  <si>
    <t>11.01.130</t>
  </si>
  <si>
    <t>SARJETA</t>
  </si>
  <si>
    <t>TELHAMENTO</t>
  </si>
  <si>
    <t>ESTACIONAMENTO</t>
  </si>
  <si>
    <t>10.02.020</t>
  </si>
  <si>
    <t>Armadura em tela soldada de aço</t>
  </si>
  <si>
    <t>VALOR</t>
  </si>
  <si>
    <t>15.01.330</t>
  </si>
  <si>
    <t>Estrutura em terças para telhas perfil trapezoidal</t>
  </si>
  <si>
    <t>2.2</t>
  </si>
  <si>
    <t>11.16.020</t>
  </si>
  <si>
    <t>Lançamento, espalhamento e adensamento de concreto ou massa em lastro
e/ou enchimento</t>
  </si>
  <si>
    <t>SUB. TOTAL</t>
  </si>
  <si>
    <t>70.02.010</t>
  </si>
  <si>
    <t>Sinalização horizontal com tinta vinílica ou acrílica</t>
  </si>
  <si>
    <t>18.11.052</t>
  </si>
  <si>
    <t>Revestimento em placa cerâmica esmaltada, tipo monoporosa, assentado e
rejuntado com argamassa industrializada</t>
  </si>
  <si>
    <t xml:space="preserve"> KIT-NET</t>
  </si>
  <si>
    <t>22.03.070</t>
  </si>
  <si>
    <t>Forro em lâmina de PVC</t>
  </si>
  <si>
    <t>MURETA AREA</t>
  </si>
  <si>
    <t>4.1</t>
  </si>
  <si>
    <t>14.10.101</t>
  </si>
  <si>
    <t>Alvenaria de bloco de concreto de vedação de 9 x 19 x 39 cm ‐ classe C</t>
  </si>
  <si>
    <t>PREÇO BDI 23%</t>
  </si>
  <si>
    <t>Locação de rede de canalização</t>
  </si>
  <si>
    <t>02.10.040</t>
  </si>
  <si>
    <t>DEMOLIÇÃO</t>
  </si>
  <si>
    <t>Demolição mecanizada de concreto armado, inclusive fragmentação,
carregamento, transporte até 1 quilômetro e descarregamento</t>
  </si>
  <si>
    <t>03.01.200</t>
  </si>
  <si>
    <t>3.2</t>
  </si>
  <si>
    <t>5.1</t>
  </si>
  <si>
    <t>5.2</t>
  </si>
  <si>
    <t>5.3</t>
  </si>
  <si>
    <t>5.4</t>
  </si>
  <si>
    <t>6.1</t>
  </si>
  <si>
    <t>REFERENCIA : CDHU 188</t>
  </si>
  <si>
    <t>RECEPÇÃO E SALA DE AULAS</t>
  </si>
  <si>
    <t>SALAS</t>
  </si>
  <si>
    <t>PAREDES</t>
  </si>
  <si>
    <t>DIMENÇOES</t>
  </si>
  <si>
    <t>ESQUADRIA</t>
  </si>
  <si>
    <t>PORTAS</t>
  </si>
  <si>
    <t>JANELAS</t>
  </si>
  <si>
    <t>VIDRO</t>
  </si>
  <si>
    <t>MADEIRA</t>
  </si>
  <si>
    <t>PISO</t>
  </si>
  <si>
    <t>LAJE</t>
  </si>
  <si>
    <t>TELHADO</t>
  </si>
  <si>
    <t>MARQUISE</t>
  </si>
  <si>
    <t xml:space="preserve"> PILAR </t>
  </si>
  <si>
    <t>QTIDA</t>
  </si>
  <si>
    <t>LONGARINA</t>
  </si>
  <si>
    <t>LONGARINA MADEIRA</t>
  </si>
  <si>
    <t>14.04.200</t>
  </si>
  <si>
    <t>Alvenaria de bloco cerâmico de vedação, uso revestido, de 9 cm</t>
  </si>
  <si>
    <t>68,45</t>
  </si>
  <si>
    <t>FUNDAÇÃO</t>
  </si>
  <si>
    <t>FORMA DE MADEIRA</t>
  </si>
  <si>
    <t>CONCRETO</t>
  </si>
  <si>
    <t>ESTACAS</t>
  </si>
  <si>
    <t>ARMADURA</t>
  </si>
  <si>
    <t>SINTA AMARAÇÃO</t>
  </si>
  <si>
    <t>09.01.020</t>
  </si>
  <si>
    <t>Forma em madeira comum para fundação</t>
  </si>
  <si>
    <t>98,55</t>
  </si>
  <si>
    <t>Armadura em barra de aço CA‐50 (A ou B) fyk = 500 MPa</t>
  </si>
  <si>
    <t>10.01.040</t>
  </si>
  <si>
    <t xml:space="preserve">ARMADURA </t>
  </si>
  <si>
    <t xml:space="preserve">VIGA </t>
  </si>
  <si>
    <t>10MM</t>
  </si>
  <si>
    <t>ESTACA</t>
  </si>
  <si>
    <t>PILAR</t>
  </si>
  <si>
    <t>11,46</t>
  </si>
  <si>
    <t>Concreto usinado, fck = 25 MPa</t>
  </si>
  <si>
    <t>Laje pré‐fabricada mista vigota treliçada/lajota cerâmica ‐ LT 12 (8+4) e
capa com concreto de 25 MPa</t>
  </si>
  <si>
    <t>13.01.130</t>
  </si>
  <si>
    <t>Estrutura de madeira tesourada para telha de barro ‐ vãos até 7,00 m</t>
  </si>
  <si>
    <t>15.01.010</t>
  </si>
  <si>
    <t>Telha de barro tipo italiana</t>
  </si>
  <si>
    <t>16.02.010</t>
  </si>
  <si>
    <t>Fornecimento e montagem de estrutura metálica em perfil metalon, sem
pintura</t>
  </si>
  <si>
    <t>15.03.150</t>
  </si>
  <si>
    <t>Tinta látex antimofo em massa, inclusive preparo</t>
  </si>
  <si>
    <t>33.10.010</t>
  </si>
  <si>
    <t>Massa corrida a base de PVA</t>
  </si>
  <si>
    <t>33.02.060</t>
  </si>
  <si>
    <t>Caixilho em alumínio de correr com vidro, linha comercial</t>
  </si>
  <si>
    <t>25.01.070</t>
  </si>
  <si>
    <t>SUB TOTAL</t>
  </si>
  <si>
    <t>FACHADA</t>
  </si>
  <si>
    <t>FUNDAÇÕ</t>
  </si>
  <si>
    <t>FORMA</t>
  </si>
  <si>
    <t>CONCRETO VIGA</t>
  </si>
  <si>
    <t>ESTACA CONCRETO</t>
  </si>
  <si>
    <t>ALVENARIA</t>
  </si>
  <si>
    <t>VIGA PORTAL</t>
  </si>
  <si>
    <t>CONCRETO VIGA PORTAL</t>
  </si>
  <si>
    <t xml:space="preserve">CONCRETO PILAR </t>
  </si>
  <si>
    <t>ARMADURA PILAR</t>
  </si>
  <si>
    <t>PORTAL</t>
  </si>
  <si>
    <t>11.16.040</t>
  </si>
  <si>
    <t>Lançamento e adensamento de concreto ou massa em fundação</t>
  </si>
  <si>
    <t>KG</t>
  </si>
  <si>
    <t>M2</t>
  </si>
  <si>
    <t>PORTÃO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</si>
  <si>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</si>
  <si>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</si>
  <si>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</si>
  <si>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</si>
  <si>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</si>
  <si>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</si>
  <si>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</si>
  <si>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</si>
  <si>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</si>
  <si>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</si>
  <si>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8.1</t>
  </si>
  <si>
    <t>9.1</t>
  </si>
  <si>
    <t>9.2</t>
  </si>
  <si>
    <t>9.3</t>
  </si>
  <si>
    <t>9.4</t>
  </si>
  <si>
    <t>9.5</t>
  </si>
  <si>
    <t>9.6</t>
  </si>
  <si>
    <t>9.7</t>
  </si>
  <si>
    <t>9.8</t>
  </si>
  <si>
    <t>33.07.102</t>
  </si>
  <si>
    <t>Esmalte a base de água em estrutura metálica</t>
  </si>
  <si>
    <t>7.12</t>
  </si>
  <si>
    <t>44.01.040</t>
  </si>
  <si>
    <t>Bacia sifonada com caixa de descarga acoplada e tampa ‐ infanƟl</t>
  </si>
  <si>
    <t xml:space="preserve">  Agudos, 22/02/2023</t>
  </si>
  <si>
    <t>LUCAS VINICIUS CRUZEIRO</t>
  </si>
  <si>
    <t>CREA 5071037345/sp</t>
  </si>
  <si>
    <t>Cabo de cobre de 2,5 mm², isolamento 750 V ‐ isolação em PVC 70°C</t>
  </si>
  <si>
    <t>39.02.016</t>
  </si>
  <si>
    <t>Cabo de cobre de 10 mm², isolamento 750 V ‐ isolação em PVC 70°C</t>
  </si>
  <si>
    <t>39.02.040</t>
  </si>
  <si>
    <t>7.13</t>
  </si>
  <si>
    <t>7.14</t>
  </si>
  <si>
    <t>Conjunto 1 interruptor simples e 1 tomada 2P+T de 10 A, completo</t>
  </si>
  <si>
    <t>40.04.480</t>
  </si>
  <si>
    <t>7.15</t>
  </si>
  <si>
    <t>40.07.040</t>
  </si>
  <si>
    <t>Caixa em PVC octogonal de 4´ x 4´</t>
  </si>
  <si>
    <t>Caixa em PVC de 4´ x 2´</t>
  </si>
  <si>
    <t>40.07.010</t>
  </si>
  <si>
    <t>7.16</t>
  </si>
  <si>
    <t>7.17</t>
  </si>
  <si>
    <t>Quadro Telebrás de embutir de 200 x 200 x 120 mm</t>
  </si>
  <si>
    <t>37.01.020</t>
  </si>
  <si>
    <t>37.13.610</t>
  </si>
  <si>
    <t>Disjuntor termomagnético, unipolar 127/220 V, corrente de 35 A até 50 A</t>
  </si>
  <si>
    <t>7.18</t>
  </si>
  <si>
    <t>7.19</t>
  </si>
  <si>
    <t>Luminária retangular de sobrepor tipo calha aberta, para 2 lâmpadas
fluorescentes tubulares de 32 W</t>
  </si>
  <si>
    <t>41.14.070</t>
  </si>
  <si>
    <t>7.20</t>
  </si>
  <si>
    <t>m</t>
  </si>
  <si>
    <t>UM</t>
  </si>
  <si>
    <t>CRONOGRAMA FÍSICO-FINANCEIRO</t>
  </si>
  <si>
    <t>ITEM</t>
  </si>
  <si>
    <t>DESCRIÇÃO</t>
  </si>
  <si>
    <t>QUANTIDADE</t>
  </si>
  <si>
    <t>1º MÊS</t>
  </si>
  <si>
    <t>2º MÊS</t>
  </si>
  <si>
    <t>3º MÊS</t>
  </si>
  <si>
    <t>RESPONSÁVEL TÉCNICO</t>
  </si>
  <si>
    <t>Obra:  Projeto REFORMA VILA DA ESPERANÇA</t>
  </si>
  <si>
    <t>ENDEREÇO:</t>
  </si>
  <si>
    <t>ENDEREÇO: RUA CESAR DE CONTI S/N - AGUDOS -SP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</si>
  <si>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</si>
  <si>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</si>
  <si>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</si>
  <si>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</si>
  <si>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</si>
  <si>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</si>
  <si>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</si>
  <si>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</si>
  <si>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</si>
  <si>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TOTAL DE RECURSO ESTADUAL</t>
  </si>
  <si>
    <t>CREA:5071037345/SP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</si>
</sst>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.00\.00"/>
    <numFmt numFmtId="165" formatCode="00\.00\.000"/>
    <numFmt numFmtId="166" formatCode="&quot;R$&quot;\ #,##0.00"/>
    <numFmt numFmtId="167" formatCode="_(* #,##0.00_);_(* \(#,##0.00\);_(* \-??_);_(@_)"/>
    <numFmt numFmtId="168" formatCode="&quot;R$ &quot;#,##0.00"/>
    <numFmt numFmtId="169" formatCode="_-&quot;R$ &quot;* #,##0.00_-;&quot;-R$ &quot;* #,##0.00_-;_-&quot;R$ &quot;* \-??_-;_-@_-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2"/>
      <color rgb="FF000000"/>
      <name val="Calibri"/>
      <family val="2"/>
    </font>
    <font>
      <sz val="10"/>
      <name val="Arial"/>
    </font>
    <font>
      <sz val="11"/>
      <color indexed="8"/>
      <name val="Calibri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indexed="22"/>
        <bgColor indexed="31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1" fillId="0" borderId="0"/>
    <xf numFmtId="167" fontId="11" fillId="0" borderId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8" fontId="1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Border="1" applyAlignment="1">
      <alignment vertical="center"/>
    </xf>
    <xf numFmtId="166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44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Border="1" applyAlignment="1">
      <alignment horizontal="center" vertical="center"/>
    </xf>
    <xf numFmtId="44" fontId="2" fillId="0" borderId="3" xfId="0" applyNumberFormat="1" applyFont="1" applyBorder="1" applyAlignment="1">
      <alignment horizontal="center" vertical="center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44" fontId="6" fillId="2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 applyProtection="1">
      <alignment horizontal="center" vertical="center"/>
      <protection locked="0"/>
    </xf>
    <xf numFmtId="44" fontId="2" fillId="0" borderId="4" xfId="0" applyNumberFormat="1" applyFont="1" applyFill="1" applyBorder="1" applyAlignment="1">
      <alignment horizontal="center" vertical="center" wrapText="1"/>
    </xf>
    <xf numFmtId="44" fontId="5" fillId="0" borderId="4" xfId="0" applyNumberFormat="1" applyFont="1" applyFill="1" applyBorder="1" applyAlignment="1" applyProtection="1">
      <alignment horizontal="center" vertical="center"/>
      <protection locked="0"/>
    </xf>
    <xf numFmtId="44" fontId="2" fillId="0" borderId="4" xfId="0" applyNumberFormat="1" applyFont="1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 applyProtection="1">
      <alignment horizontal="center" vertical="center"/>
      <protection locked="0"/>
    </xf>
    <xf numFmtId="44" fontId="2" fillId="4" borderId="4" xfId="0" applyNumberFormat="1" applyFont="1" applyFill="1" applyBorder="1" applyAlignment="1">
      <alignment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44" fontId="7" fillId="0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4" fontId="7" fillId="4" borderId="4" xfId="0" applyNumberFormat="1" applyFont="1" applyFill="1" applyBorder="1" applyAlignment="1">
      <alignment horizontal="center" vertical="center" wrapText="1"/>
    </xf>
    <xf numFmtId="44" fontId="2" fillId="5" borderId="4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vertical="center" wrapText="1"/>
    </xf>
    <xf numFmtId="44" fontId="7" fillId="4" borderId="4" xfId="0" applyNumberFormat="1" applyFont="1" applyFill="1" applyBorder="1" applyAlignment="1">
      <alignment vertical="center"/>
    </xf>
    <xf numFmtId="44" fontId="6" fillId="6" borderId="4" xfId="0" applyNumberFormat="1" applyFont="1" applyFill="1" applyBorder="1" applyAlignment="1" applyProtection="1">
      <alignment horizontal="center" vertical="center"/>
      <protection locked="0"/>
    </xf>
    <xf numFmtId="44" fontId="7" fillId="6" borderId="4" xfId="0" applyNumberFormat="1" applyFont="1" applyFill="1" applyBorder="1" applyAlignment="1">
      <alignment vertical="center"/>
    </xf>
    <xf numFmtId="0" fontId="7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2" fontId="2" fillId="0" borderId="6" xfId="0" applyNumberFormat="1" applyFont="1" applyBorder="1" applyAlignment="1">
      <alignment vertical="center" wrapText="1"/>
    </xf>
    <xf numFmtId="0" fontId="1" fillId="4" borderId="0" xfId="0" applyFont="1" applyFill="1"/>
    <xf numFmtId="2" fontId="1" fillId="4" borderId="0" xfId="0" applyNumberFormat="1" applyFont="1" applyFill="1"/>
    <xf numFmtId="0" fontId="0" fillId="4" borderId="0" xfId="0" applyFill="1"/>
    <xf numFmtId="0" fontId="1" fillId="7" borderId="0" xfId="0" applyFont="1" applyFill="1"/>
    <xf numFmtId="2" fontId="1" fillId="7" borderId="0" xfId="0" applyNumberFormat="1" applyFont="1" applyFill="1"/>
    <xf numFmtId="0" fontId="1" fillId="2" borderId="0" xfId="0" applyFont="1" applyFill="1"/>
    <xf numFmtId="2" fontId="0" fillId="2" borderId="0" xfId="0" applyNumberFormat="1" applyFill="1"/>
    <xf numFmtId="0" fontId="0" fillId="2" borderId="0" xfId="0" applyFill="1"/>
    <xf numFmtId="16" fontId="1" fillId="0" borderId="0" xfId="0" applyNumberFormat="1" applyFont="1"/>
    <xf numFmtId="44" fontId="7" fillId="2" borderId="4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4" fontId="7" fillId="2" borderId="5" xfId="0" applyNumberFormat="1" applyFont="1" applyFill="1" applyBorder="1" applyAlignment="1">
      <alignment vertical="center" wrapText="1"/>
    </xf>
    <xf numFmtId="44" fontId="7" fillId="2" borderId="7" xfId="0" applyNumberFormat="1" applyFont="1" applyFill="1" applyBorder="1" applyAlignment="1">
      <alignment vertical="center" wrapText="1"/>
    </xf>
    <xf numFmtId="44" fontId="3" fillId="0" borderId="0" xfId="0" applyNumberFormat="1" applyFont="1" applyAlignment="1">
      <alignment vertical="center"/>
    </xf>
    <xf numFmtId="2" fontId="2" fillId="0" borderId="4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44" fontId="2" fillId="0" borderId="7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1" fontId="7" fillId="4" borderId="5" xfId="0" applyNumberFormat="1" applyFont="1" applyFill="1" applyBorder="1" applyAlignment="1">
      <alignment vertical="center" wrapText="1"/>
    </xf>
    <xf numFmtId="1" fontId="7" fillId="4" borderId="6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44" fontId="2" fillId="0" borderId="4" xfId="0" applyNumberFormat="1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 wrapText="1"/>
    </xf>
    <xf numFmtId="44" fontId="3" fillId="0" borderId="0" xfId="0" applyNumberFormat="1" applyFont="1" applyFill="1" applyBorder="1" applyAlignment="1">
      <alignment vertical="center" wrapText="1"/>
    </xf>
    <xf numFmtId="44" fontId="3" fillId="0" borderId="2" xfId="0" applyNumberFormat="1" applyFont="1" applyBorder="1" applyAlignment="1">
      <alignment vertical="center" wrapText="1"/>
    </xf>
    <xf numFmtId="44" fontId="2" fillId="0" borderId="4" xfId="3" applyNumberFormat="1" applyFont="1" applyFill="1" applyBorder="1" applyAlignment="1">
      <alignment horizontal="center" vertical="center"/>
    </xf>
    <xf numFmtId="44" fontId="1" fillId="0" borderId="0" xfId="0" applyNumberFormat="1" applyFont="1" applyBorder="1" applyAlignment="1">
      <alignment horizontal="left"/>
    </xf>
    <xf numFmtId="44" fontId="7" fillId="6" borderId="10" xfId="0" applyNumberFormat="1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 wrapText="1"/>
    </xf>
    <xf numFmtId="44" fontId="7" fillId="6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44" fontId="7" fillId="2" borderId="4" xfId="0" applyNumberFormat="1" applyFont="1" applyFill="1" applyBorder="1" applyAlignment="1">
      <alignment vertical="center" wrapText="1"/>
    </xf>
    <xf numFmtId="169" fontId="0" fillId="0" borderId="0" xfId="0" applyNumberFormat="1"/>
    <xf numFmtId="169" fontId="0" fillId="0" borderId="0" xfId="0" applyNumberFormat="1" applyFill="1" applyBorder="1"/>
    <xf numFmtId="169" fontId="12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wrapText="1"/>
    </xf>
    <xf numFmtId="0" fontId="13" fillId="8" borderId="15" xfId="0" applyFont="1" applyFill="1" applyBorder="1" applyAlignment="1" applyProtection="1">
      <alignment horizontal="center" vertical="center" wrapText="1"/>
    </xf>
    <xf numFmtId="0" fontId="2" fillId="0" borderId="14" xfId="4" applyFont="1" applyFill="1" applyBorder="1" applyAlignment="1" applyProtection="1">
      <alignment horizontal="center" vertical="center" wrapText="1"/>
    </xf>
    <xf numFmtId="168" fontId="2" fillId="0" borderId="4" xfId="5" applyNumberFormat="1" applyFont="1" applyFill="1" applyBorder="1" applyAlignment="1" applyProtection="1">
      <alignment horizontal="left" vertical="center" wrapText="1"/>
    </xf>
    <xf numFmtId="4" fontId="2" fillId="0" borderId="4" xfId="5" applyNumberFormat="1" applyFont="1" applyFill="1" applyBorder="1" applyAlignment="1" applyProtection="1">
      <alignment horizontal="center" vertical="center" wrapText="1"/>
    </xf>
    <xf numFmtId="169" fontId="2" fillId="0" borderId="5" xfId="5" applyNumberFormat="1" applyFont="1" applyFill="1" applyBorder="1" applyAlignment="1" applyProtection="1">
      <alignment horizontal="center" vertical="center" wrapText="1"/>
    </xf>
    <xf numFmtId="169" fontId="2" fillId="0" borderId="4" xfId="5" applyNumberFormat="1" applyFont="1" applyFill="1" applyBorder="1" applyAlignment="1" applyProtection="1">
      <alignment horizontal="center" vertical="center" wrapText="1"/>
    </xf>
    <xf numFmtId="169" fontId="2" fillId="0" borderId="15" xfId="5" applyNumberFormat="1" applyFont="1" applyFill="1" applyBorder="1" applyAlignment="1" applyProtection="1">
      <alignment horizontal="center" vertical="center" wrapText="1"/>
    </xf>
    <xf numFmtId="169" fontId="7" fillId="8" borderId="4" xfId="4" applyNumberFormat="1" applyFont="1" applyFill="1" applyBorder="1" applyAlignment="1" applyProtection="1">
      <alignment horizontal="center" vertical="center" wrapText="1"/>
    </xf>
    <xf numFmtId="169" fontId="7" fillId="8" borderId="4" xfId="4" applyNumberFormat="1" applyFont="1" applyFill="1" applyBorder="1" applyAlignment="1" applyProtection="1">
      <alignment horizontal="center" vertical="center" wrapText="1"/>
      <protection locked="0"/>
    </xf>
    <xf numFmtId="169" fontId="7" fillId="8" borderId="15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2" fillId="0" borderId="19" xfId="0" applyFont="1" applyBorder="1"/>
    <xf numFmtId="0" fontId="2" fillId="0" borderId="18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44" fontId="13" fillId="0" borderId="0" xfId="0" applyNumberFormat="1" applyFont="1" applyBorder="1" applyAlignment="1" applyProtection="1">
      <alignment horizontal="center" vertical="center"/>
      <protection locked="0"/>
    </xf>
    <xf numFmtId="169" fontId="2" fillId="0" borderId="0" xfId="5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169" fontId="2" fillId="0" borderId="0" xfId="0" applyNumberFormat="1" applyFont="1" applyBorder="1"/>
    <xf numFmtId="0" fontId="2" fillId="0" borderId="20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13" fillId="0" borderId="21" xfId="0" applyFont="1" applyBorder="1" applyAlignment="1" applyProtection="1">
      <alignment vertical="center"/>
    </xf>
    <xf numFmtId="0" fontId="13" fillId="0" borderId="21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21" xfId="0" applyFont="1" applyBorder="1"/>
    <xf numFmtId="43" fontId="2" fillId="0" borderId="21" xfId="0" applyNumberFormat="1" applyFont="1" applyBorder="1"/>
    <xf numFmtId="0" fontId="2" fillId="0" borderId="22" xfId="0" applyFont="1" applyBorder="1"/>
    <xf numFmtId="0" fontId="2" fillId="0" borderId="0" xfId="0" applyFont="1"/>
    <xf numFmtId="43" fontId="2" fillId="0" borderId="0" xfId="0" applyNumberFormat="1" applyFont="1"/>
    <xf numFmtId="169" fontId="2" fillId="0" borderId="0" xfId="0" applyNumberFormat="1" applyFont="1"/>
    <xf numFmtId="0" fontId="8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/>
    </xf>
    <xf numFmtId="166" fontId="6" fillId="0" borderId="7" xfId="0" applyNumberFormat="1" applyFont="1" applyBorder="1" applyAlignment="1">
      <alignment horizontal="right" vertical="center"/>
    </xf>
    <xf numFmtId="0" fontId="7" fillId="5" borderId="4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vertical="center"/>
    </xf>
    <xf numFmtId="164" fontId="6" fillId="6" borderId="6" xfId="0" applyNumberFormat="1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7" fillId="8" borderId="14" xfId="4" applyFont="1" applyFill="1" applyBorder="1" applyAlignment="1" applyProtection="1">
      <alignment horizontal="right" vertical="center" wrapText="1"/>
    </xf>
    <xf numFmtId="0" fontId="7" fillId="8" borderId="4" xfId="4" applyFont="1" applyFill="1" applyBorder="1" applyAlignment="1" applyProtection="1">
      <alignment horizontal="right" vertical="center" wrapText="1"/>
    </xf>
    <xf numFmtId="169" fontId="7" fillId="8" borderId="4" xfId="4" applyNumberFormat="1" applyFont="1" applyFill="1" applyBorder="1" applyAlignment="1" applyProtection="1">
      <alignment horizontal="center" vertical="center" wrapText="1"/>
      <protection locked="0"/>
    </xf>
    <xf numFmtId="169" fontId="7" fillId="8" borderId="15" xfId="4" applyNumberFormat="1" applyFont="1" applyFill="1" applyBorder="1" applyAlignment="1" applyProtection="1">
      <alignment horizontal="center" vertical="center" wrapText="1"/>
      <protection locked="0"/>
    </xf>
    <xf numFmtId="169" fontId="7" fillId="8" borderId="16" xfId="4" applyNumberFormat="1" applyFont="1" applyFill="1" applyBorder="1" applyAlignment="1" applyProtection="1">
      <alignment horizontal="center" vertical="center" wrapText="1"/>
      <protection locked="0"/>
    </xf>
    <xf numFmtId="169" fontId="7" fillId="8" borderId="17" xfId="4" applyNumberFormat="1" applyFont="1" applyFill="1" applyBorder="1" applyAlignment="1" applyProtection="1">
      <alignment horizontal="center" vertical="center" wrapText="1"/>
      <protection locked="0"/>
    </xf>
    <xf numFmtId="0" fontId="13" fillId="8" borderId="11" xfId="0" applyFont="1" applyFill="1" applyBorder="1" applyAlignment="1" applyProtection="1">
      <alignment vertical="center"/>
    </xf>
    <xf numFmtId="0" fontId="13" fillId="8" borderId="12" xfId="0" applyFont="1" applyFill="1" applyBorder="1" applyAlignment="1" applyProtection="1">
      <alignment vertical="center"/>
    </xf>
    <xf numFmtId="0" fontId="13" fillId="8" borderId="13" xfId="0" applyFont="1" applyFill="1" applyBorder="1" applyAlignment="1" applyProtection="1">
      <alignment vertical="center"/>
    </xf>
    <xf numFmtId="0" fontId="13" fillId="8" borderId="14" xfId="0" applyFont="1" applyFill="1" applyBorder="1" applyAlignment="1" applyProtection="1">
      <alignment vertical="center" wrapText="1"/>
    </xf>
    <xf numFmtId="0" fontId="13" fillId="8" borderId="4" xfId="0" applyFont="1" applyFill="1" applyBorder="1" applyAlignment="1" applyProtection="1">
      <alignment vertical="center" wrapText="1"/>
    </xf>
    <xf numFmtId="0" fontId="13" fillId="8" borderId="15" xfId="0" applyFont="1" applyFill="1" applyBorder="1" applyAlignment="1" applyProtection="1">
      <alignment vertical="center" wrapText="1"/>
    </xf>
  </cellXfs>
  <cellStyles count="6">
    <cellStyle name="0,0_x000d__x000a_NA_x000d__x000a_" xfId="1"/>
    <cellStyle name="Moeda" xfId="3" builtinId="4"/>
    <cellStyle name="Normal" xfId="0" builtinId="0"/>
    <cellStyle name="Normal 2" xfId="2"/>
    <cellStyle name="Normal 3" xfId="4"/>
    <cellStyle name="Vírgula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AFEAFF"/>
      <color rgb="FFEEAC64"/>
      <color rgb="FFCDF2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PLANILHA%20OR&#199;AMENT&#193;RIA%20E%20CRONOGRAMAS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Ruas"/>
      <sheetName val="Quantitativo"/>
      <sheetName val="Cronograma"/>
      <sheetName val="Desembolso"/>
      <sheetName val="BDI"/>
      <sheetName val="acervo "/>
    </sheetNames>
    <sheetDataSet>
      <sheetData sheetId="0">
        <row r="1">
          <cell r="A1" t="str">
            <v>PLANILHA ORÇAMENTÁRIA</v>
          </cell>
        </row>
        <row r="24">
          <cell r="F24" t="str">
            <v>______________________________________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Íon - Sala da Diretoria">
  <a:themeElements>
    <a:clrScheme name="Íon - Sala da Diretoria">
      <a:dk1>
        <a:sysClr val="windowText" lastClr="000000"/>
      </a:dk1>
      <a:lt1>
        <a:sysClr val="window" lastClr="FFFFFF"/>
      </a:lt1>
      <a:dk2>
        <a:srgbClr val="3B3059"/>
      </a:dk2>
      <a:lt2>
        <a:srgbClr val="EBEBEB"/>
      </a:lt2>
      <a:accent1>
        <a:srgbClr val="B31166"/>
      </a:accent1>
      <a:accent2>
        <a:srgbClr val="E33D6F"/>
      </a:accent2>
      <a:accent3>
        <a:srgbClr val="E45F3C"/>
      </a:accent3>
      <a:accent4>
        <a:srgbClr val="E9943A"/>
      </a:accent4>
      <a:accent5>
        <a:srgbClr val="9B6BF2"/>
      </a:accent5>
      <a:accent6>
        <a:srgbClr val="D53DD0"/>
      </a:accent6>
      <a:hlink>
        <a:srgbClr val="8F8F8F"/>
      </a:hlink>
      <a:folHlink>
        <a:srgbClr val="A5A5A5"/>
      </a:folHlink>
    </a:clrScheme>
    <a:fontScheme name="Íon - Sala da Diretoria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Íon - Sala da Diretoria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tabSelected="1" view="pageLayout" topLeftCell="A43" zoomScale="85" zoomScaleNormal="100" zoomScaleSheetLayoutView="100" zoomScalePageLayoutView="85" workbookViewId="0">
      <selection activeCell="A45" sqref="A45:I45"/>
    </sheetView>
  </sheetViews>
  <sheetFormatPr defaultColWidth="11.42578125" defaultRowHeight="15" x14ac:dyDescent="0.2"/>
  <cols>
    <col min="1" max="1" width="7.85546875" style="3" customWidth="1"/>
    <col min="2" max="2" width="8.7109375" style="17" customWidth="1"/>
    <col min="3" max="3" width="13.140625" style="17" customWidth="1"/>
    <col min="4" max="4" width="41.140625" style="1" customWidth="1"/>
    <col min="5" max="5" width="10.85546875" style="6" bestFit="1" customWidth="1"/>
    <col min="6" max="6" width="5.85546875" style="4" customWidth="1"/>
    <col min="7" max="7" width="14.42578125" style="94" customWidth="1"/>
    <col min="8" max="8" width="17.42578125" style="22" customWidth="1"/>
    <col min="9" max="9" width="18.85546875" style="1" customWidth="1"/>
    <col min="10" max="16384" width="11.42578125" style="1"/>
  </cols>
  <sheetData>
    <row r="1" spans="1:10" ht="18" customHeight="1" x14ac:dyDescent="0.2">
      <c r="A1" s="164" t="s">
        <v>14</v>
      </c>
      <c r="B1" s="164"/>
      <c r="C1" s="164"/>
      <c r="D1" s="164"/>
      <c r="E1" s="164"/>
      <c r="F1" s="164"/>
      <c r="G1" s="164"/>
      <c r="H1" s="164"/>
      <c r="I1" s="164"/>
    </row>
    <row r="2" spans="1:10" ht="18" customHeight="1" x14ac:dyDescent="0.2">
      <c r="A2" s="165" t="s">
        <v>196</v>
      </c>
      <c r="B2" s="165"/>
      <c r="C2" s="165"/>
      <c r="D2" s="165"/>
      <c r="E2" s="165"/>
      <c r="F2" s="165"/>
      <c r="G2" s="165"/>
      <c r="H2" s="165"/>
      <c r="I2" s="165"/>
    </row>
    <row r="3" spans="1:10" ht="18" hidden="1" customHeight="1" x14ac:dyDescent="0.2">
      <c r="A3" s="168" t="s">
        <v>197</v>
      </c>
      <c r="B3" s="169"/>
      <c r="C3" s="169"/>
      <c r="D3" s="169"/>
      <c r="E3" s="169"/>
      <c r="F3" s="169"/>
      <c r="G3" s="169"/>
      <c r="H3" s="169"/>
      <c r="I3" s="170"/>
    </row>
    <row r="4" spans="1:10" ht="14.25" customHeight="1" x14ac:dyDescent="0.2">
      <c r="A4" s="171" t="s">
        <v>198</v>
      </c>
      <c r="B4" s="172"/>
      <c r="C4" s="172"/>
      <c r="D4" s="172"/>
      <c r="E4" s="172"/>
      <c r="F4" s="172"/>
      <c r="G4" s="172"/>
      <c r="H4" s="172"/>
      <c r="I4" s="173"/>
    </row>
    <row r="5" spans="1:10" ht="15.75" x14ac:dyDescent="0.2">
      <c r="A5" s="165" t="s">
        <v>65</v>
      </c>
      <c r="B5" s="165"/>
      <c r="C5" s="165"/>
      <c r="D5" s="165"/>
      <c r="E5" s="165"/>
      <c r="F5" s="165"/>
      <c r="G5" s="165"/>
      <c r="H5" s="165"/>
      <c r="I5" s="165"/>
    </row>
    <row r="6" spans="1:10" ht="31.5" x14ac:dyDescent="0.2">
      <c r="A6" s="18" t="s">
        <v>8</v>
      </c>
      <c r="B6" s="18" t="s">
        <v>7</v>
      </c>
      <c r="C6" s="18" t="s">
        <v>0</v>
      </c>
      <c r="D6" s="18" t="s">
        <v>6</v>
      </c>
      <c r="E6" s="18" t="s">
        <v>2</v>
      </c>
      <c r="F6" s="18" t="s">
        <v>3</v>
      </c>
      <c r="G6" s="20" t="s">
        <v>35</v>
      </c>
      <c r="H6" s="20" t="s">
        <v>4</v>
      </c>
      <c r="I6" s="20" t="s">
        <v>53</v>
      </c>
    </row>
    <row r="7" spans="1:10" ht="18" customHeight="1" x14ac:dyDescent="0.2">
      <c r="A7" s="19"/>
      <c r="B7" s="147">
        <v>185</v>
      </c>
      <c r="C7" s="100"/>
      <c r="D7" s="163" t="s">
        <v>5</v>
      </c>
      <c r="E7" s="163"/>
      <c r="F7" s="163"/>
      <c r="G7" s="163"/>
      <c r="H7" s="24"/>
      <c r="I7" s="26"/>
    </row>
    <row r="8" spans="1:10" ht="18" customHeight="1" x14ac:dyDescent="0.2">
      <c r="A8" s="23">
        <v>1</v>
      </c>
      <c r="B8" s="163" t="s">
        <v>15</v>
      </c>
      <c r="C8" s="163"/>
      <c r="D8" s="163"/>
      <c r="E8" s="163"/>
      <c r="F8" s="163"/>
      <c r="G8" s="163"/>
      <c r="H8" s="163"/>
      <c r="I8" s="25"/>
    </row>
    <row r="9" spans="1:10" ht="30" x14ac:dyDescent="0.2">
      <c r="A9" s="29" t="s">
        <v>9</v>
      </c>
      <c r="B9" s="28" t="s">
        <v>13</v>
      </c>
      <c r="C9" s="28" t="s">
        <v>17</v>
      </c>
      <c r="D9" s="28" t="s">
        <v>16</v>
      </c>
      <c r="E9" s="30">
        <v>6</v>
      </c>
      <c r="F9" s="28" t="s">
        <v>26</v>
      </c>
      <c r="G9" s="31">
        <v>544.6</v>
      </c>
      <c r="H9" s="32">
        <f>E9*G9</f>
        <v>3267.6000000000004</v>
      </c>
      <c r="I9" s="33">
        <f>H9*1.23</f>
        <v>4019.1480000000006</v>
      </c>
    </row>
    <row r="10" spans="1:10" ht="29.25" customHeight="1" x14ac:dyDescent="0.2">
      <c r="A10" s="34" t="s">
        <v>18</v>
      </c>
      <c r="B10" s="28" t="s">
        <v>13</v>
      </c>
      <c r="C10" s="28" t="s">
        <v>20</v>
      </c>
      <c r="D10" s="28" t="s">
        <v>19</v>
      </c>
      <c r="E10" s="30">
        <f>Planilha1!B2</f>
        <v>116.4</v>
      </c>
      <c r="F10" s="28" t="s">
        <v>21</v>
      </c>
      <c r="G10" s="52">
        <v>54.94</v>
      </c>
      <c r="H10" s="35">
        <f>E10*G10</f>
        <v>6395.0159999999996</v>
      </c>
      <c r="I10" s="33">
        <f>H10*1.23</f>
        <v>7865.8696799999998</v>
      </c>
    </row>
    <row r="11" spans="1:10" ht="18" customHeight="1" x14ac:dyDescent="0.2">
      <c r="A11" s="34"/>
      <c r="B11" s="28" t="s">
        <v>13</v>
      </c>
      <c r="C11" s="36" t="s">
        <v>55</v>
      </c>
      <c r="D11" s="28" t="s">
        <v>54</v>
      </c>
      <c r="E11" s="30">
        <v>250</v>
      </c>
      <c r="F11" s="28" t="s">
        <v>21</v>
      </c>
      <c r="G11" s="52">
        <v>1.46</v>
      </c>
      <c r="H11" s="35">
        <f>G11*E11</f>
        <v>365</v>
      </c>
      <c r="I11" s="33">
        <f>H11*1.23</f>
        <v>448.95</v>
      </c>
    </row>
    <row r="12" spans="1:10" ht="15" customHeight="1" x14ac:dyDescent="0.2">
      <c r="A12" s="149"/>
      <c r="B12" s="149"/>
      <c r="C12" s="149"/>
      <c r="D12" s="149"/>
      <c r="E12" s="149"/>
      <c r="F12" s="151" t="s">
        <v>41</v>
      </c>
      <c r="G12" s="151"/>
      <c r="H12" s="37">
        <f>SUM(H9:H11)</f>
        <v>10027.616</v>
      </c>
      <c r="I12" s="54">
        <f>SUM(I9:I11)</f>
        <v>12333.967680000002</v>
      </c>
      <c r="J12" s="8"/>
    </row>
    <row r="13" spans="1:10" ht="18" customHeight="1" x14ac:dyDescent="0.2">
      <c r="A13" s="39">
        <v>2</v>
      </c>
      <c r="B13" s="167" t="s">
        <v>22</v>
      </c>
      <c r="C13" s="167"/>
      <c r="D13" s="167"/>
      <c r="E13" s="167"/>
      <c r="F13" s="167"/>
      <c r="G13" s="167"/>
      <c r="H13" s="167"/>
      <c r="I13" s="38"/>
      <c r="J13" s="8"/>
    </row>
    <row r="14" spans="1:10" ht="57.75" customHeight="1" x14ac:dyDescent="0.2">
      <c r="A14" s="34" t="s">
        <v>10</v>
      </c>
      <c r="B14" s="28" t="s">
        <v>13</v>
      </c>
      <c r="C14" s="28" t="s">
        <v>24</v>
      </c>
      <c r="D14" s="28" t="s">
        <v>23</v>
      </c>
      <c r="E14" s="40">
        <f>Planilha1!B3*1.5</f>
        <v>140.92500000000001</v>
      </c>
      <c r="F14" s="28" t="s">
        <v>25</v>
      </c>
      <c r="G14" s="31">
        <v>193.87</v>
      </c>
      <c r="H14" s="32">
        <f>E14*G14</f>
        <v>27321.129750000004</v>
      </c>
      <c r="I14" s="33">
        <f>H14*1.23</f>
        <v>33604.989592500002</v>
      </c>
    </row>
    <row r="15" spans="1:10" ht="33" customHeight="1" x14ac:dyDescent="0.2">
      <c r="A15" s="34" t="s">
        <v>38</v>
      </c>
      <c r="B15" s="28" t="s">
        <v>13</v>
      </c>
      <c r="C15" s="41" t="s">
        <v>36</v>
      </c>
      <c r="D15" s="28" t="s">
        <v>37</v>
      </c>
      <c r="E15" s="40">
        <v>140.91999999999999</v>
      </c>
      <c r="F15" s="28" t="s">
        <v>25</v>
      </c>
      <c r="G15" s="31">
        <v>19.09</v>
      </c>
      <c r="H15" s="32">
        <f>G15*E15</f>
        <v>2690.1627999999996</v>
      </c>
      <c r="I15" s="33">
        <f>H15*1.23</f>
        <v>3308.9002439999995</v>
      </c>
    </row>
    <row r="16" spans="1:10" ht="16.5" customHeight="1" x14ac:dyDescent="0.2">
      <c r="A16" s="148"/>
      <c r="B16" s="148"/>
      <c r="C16" s="148"/>
      <c r="D16" s="148"/>
      <c r="E16" s="148"/>
      <c r="F16" s="151" t="s">
        <v>41</v>
      </c>
      <c r="G16" s="151"/>
      <c r="H16" s="37">
        <f>SUM(H14:H15)</f>
        <v>30011.292550000002</v>
      </c>
      <c r="I16" s="54">
        <f>SUM(I14:I15)</f>
        <v>36913.889836499999</v>
      </c>
    </row>
    <row r="17" spans="1:10" ht="15" customHeight="1" x14ac:dyDescent="0.2">
      <c r="A17" s="44">
        <v>3</v>
      </c>
      <c r="B17" s="167" t="s">
        <v>46</v>
      </c>
      <c r="C17" s="167"/>
      <c r="D17" s="167"/>
      <c r="E17" s="167"/>
      <c r="F17" s="167"/>
      <c r="G17" s="167"/>
      <c r="H17" s="167"/>
      <c r="I17" s="38"/>
    </row>
    <row r="18" spans="1:10" ht="15" customHeight="1" x14ac:dyDescent="0.2">
      <c r="A18" s="45" t="s">
        <v>11</v>
      </c>
      <c r="B18" s="46" t="s">
        <v>13</v>
      </c>
      <c r="C18" s="46" t="s">
        <v>47</v>
      </c>
      <c r="D18" s="28" t="s">
        <v>48</v>
      </c>
      <c r="E18" s="28">
        <f>23*22</f>
        <v>506</v>
      </c>
      <c r="F18" s="46" t="s">
        <v>25</v>
      </c>
      <c r="G18" s="42">
        <v>81.67</v>
      </c>
      <c r="H18" s="42">
        <f>G18*E18</f>
        <v>41325.020000000004</v>
      </c>
      <c r="I18" s="33">
        <f>H18*1.23</f>
        <v>50829.774600000004</v>
      </c>
    </row>
    <row r="19" spans="1:10" ht="40.5" customHeight="1" x14ac:dyDescent="0.2">
      <c r="A19" s="45" t="s">
        <v>59</v>
      </c>
      <c r="B19" s="46" t="s">
        <v>13</v>
      </c>
      <c r="C19" s="46" t="s">
        <v>44</v>
      </c>
      <c r="D19" s="28" t="s">
        <v>45</v>
      </c>
      <c r="E19" s="28">
        <f>23*22</f>
        <v>506</v>
      </c>
      <c r="F19" s="46" t="s">
        <v>25</v>
      </c>
      <c r="G19" s="42">
        <v>77.02</v>
      </c>
      <c r="H19" s="42">
        <f>G19*E19</f>
        <v>38972.119999999995</v>
      </c>
      <c r="I19" s="33">
        <f>H19*1.23</f>
        <v>47935.707599999994</v>
      </c>
    </row>
    <row r="20" spans="1:10" ht="17.25" customHeight="1" x14ac:dyDescent="0.2">
      <c r="A20" s="148"/>
      <c r="B20" s="148"/>
      <c r="C20" s="148"/>
      <c r="D20" s="148"/>
      <c r="E20" s="148"/>
      <c r="F20" s="151" t="s">
        <v>41</v>
      </c>
      <c r="G20" s="151"/>
      <c r="H20" s="47">
        <f>H19+H18</f>
        <v>80297.14</v>
      </c>
      <c r="I20" s="54">
        <f>SUM(I18:I19)</f>
        <v>98765.482199999999</v>
      </c>
    </row>
    <row r="21" spans="1:10" ht="15.75" customHeight="1" x14ac:dyDescent="0.2">
      <c r="A21" s="44">
        <v>4</v>
      </c>
      <c r="B21" s="167" t="s">
        <v>49</v>
      </c>
      <c r="C21" s="167"/>
      <c r="D21" s="167"/>
      <c r="E21" s="167"/>
      <c r="F21" s="167"/>
      <c r="G21" s="167"/>
      <c r="H21" s="167"/>
      <c r="I21" s="38"/>
    </row>
    <row r="22" spans="1:10" ht="40.5" customHeight="1" x14ac:dyDescent="0.2">
      <c r="A22" s="45" t="s">
        <v>50</v>
      </c>
      <c r="B22" s="46" t="s">
        <v>13</v>
      </c>
      <c r="C22" s="46" t="s">
        <v>51</v>
      </c>
      <c r="D22" s="28" t="s">
        <v>52</v>
      </c>
      <c r="E22" s="28">
        <v>54</v>
      </c>
      <c r="F22" s="46" t="s">
        <v>25</v>
      </c>
      <c r="G22" s="42">
        <v>70.22</v>
      </c>
      <c r="H22" s="42">
        <f>G22*E22</f>
        <v>3791.88</v>
      </c>
      <c r="I22" s="33">
        <f>H22*1.23</f>
        <v>4664.0123999999996</v>
      </c>
    </row>
    <row r="23" spans="1:10" ht="40.5" customHeight="1" x14ac:dyDescent="0.2">
      <c r="A23" s="34" t="s">
        <v>60</v>
      </c>
      <c r="B23" s="28" t="s">
        <v>13</v>
      </c>
      <c r="C23" s="49" t="s">
        <v>29</v>
      </c>
      <c r="D23" s="50" t="s">
        <v>28</v>
      </c>
      <c r="E23" s="51">
        <v>25.2</v>
      </c>
      <c r="F23" s="49" t="s">
        <v>26</v>
      </c>
      <c r="G23" s="52">
        <v>456.42</v>
      </c>
      <c r="H23" s="32">
        <f>E23*G23</f>
        <v>11501.784</v>
      </c>
      <c r="I23" s="33">
        <f>H23*1.23</f>
        <v>14147.194319999999</v>
      </c>
    </row>
    <row r="24" spans="1:10" ht="16.5" customHeight="1" x14ac:dyDescent="0.2">
      <c r="A24" s="148"/>
      <c r="B24" s="148"/>
      <c r="C24" s="148"/>
      <c r="D24" s="148"/>
      <c r="E24" s="148"/>
      <c r="F24" s="151" t="s">
        <v>41</v>
      </c>
      <c r="G24" s="151"/>
      <c r="H24" s="47">
        <f>H22+H23</f>
        <v>15293.664000000001</v>
      </c>
      <c r="I24" s="54">
        <f>SUM(I22:I23)</f>
        <v>18811.206719999998</v>
      </c>
    </row>
    <row r="25" spans="1:10" ht="18" customHeight="1" x14ac:dyDescent="0.2">
      <c r="A25" s="39">
        <v>5</v>
      </c>
      <c r="B25" s="160" t="s">
        <v>27</v>
      </c>
      <c r="C25" s="160"/>
      <c r="D25" s="160"/>
      <c r="E25" s="160"/>
      <c r="F25" s="160"/>
      <c r="G25" s="160"/>
      <c r="H25" s="160"/>
      <c r="I25" s="48"/>
    </row>
    <row r="26" spans="1:10" x14ac:dyDescent="0.2">
      <c r="A26" s="34" t="s">
        <v>60</v>
      </c>
      <c r="B26" s="28" t="s">
        <v>13</v>
      </c>
      <c r="C26" s="49" t="s">
        <v>29</v>
      </c>
      <c r="D26" s="50" t="s">
        <v>28</v>
      </c>
      <c r="E26" s="51">
        <v>25.2</v>
      </c>
      <c r="F26" s="49" t="s">
        <v>26</v>
      </c>
      <c r="G26" s="52">
        <v>456.42</v>
      </c>
      <c r="H26" s="32">
        <f>E26*G26</f>
        <v>11501.784</v>
      </c>
      <c r="I26" s="33">
        <f>H26*1.23</f>
        <v>14147.194319999999</v>
      </c>
    </row>
    <row r="27" spans="1:10" x14ac:dyDescent="0.2">
      <c r="A27" s="34" t="s">
        <v>61</v>
      </c>
      <c r="B27" s="28" t="s">
        <v>13</v>
      </c>
      <c r="C27" s="50" t="s">
        <v>33</v>
      </c>
      <c r="D27" s="50" t="s">
        <v>34</v>
      </c>
      <c r="E27" s="51">
        <v>265</v>
      </c>
      <c r="F27" s="49" t="s">
        <v>25</v>
      </c>
      <c r="G27" s="52">
        <v>14.64</v>
      </c>
      <c r="H27" s="32">
        <f t="shared" ref="H27:H32" si="0">E27*G27</f>
        <v>3879.6000000000004</v>
      </c>
      <c r="I27" s="33">
        <f>H27*1.23</f>
        <v>4771.9080000000004</v>
      </c>
    </row>
    <row r="28" spans="1:10" ht="60" x14ac:dyDescent="0.2">
      <c r="A28" s="49" t="s">
        <v>62</v>
      </c>
      <c r="B28" s="49" t="s">
        <v>13</v>
      </c>
      <c r="C28" s="50" t="s">
        <v>39</v>
      </c>
      <c r="D28" s="50" t="s">
        <v>40</v>
      </c>
      <c r="E28" s="50">
        <v>25.2</v>
      </c>
      <c r="F28" s="49" t="s">
        <v>26</v>
      </c>
      <c r="G28" s="53">
        <v>82.1</v>
      </c>
      <c r="H28" s="32">
        <f t="shared" si="0"/>
        <v>2068.9199999999996</v>
      </c>
      <c r="I28" s="33">
        <f>H28*1.23</f>
        <v>2544.7715999999996</v>
      </c>
    </row>
    <row r="29" spans="1:10" ht="42" customHeight="1" x14ac:dyDescent="0.2">
      <c r="A29" s="49" t="s">
        <v>63</v>
      </c>
      <c r="B29" s="49" t="s">
        <v>13</v>
      </c>
      <c r="C29" s="27" t="s">
        <v>42</v>
      </c>
      <c r="D29" s="28" t="s">
        <v>43</v>
      </c>
      <c r="E29" s="50">
        <v>9.9</v>
      </c>
      <c r="F29" s="49" t="s">
        <v>25</v>
      </c>
      <c r="G29" s="53">
        <v>40.67</v>
      </c>
      <c r="H29" s="32">
        <f t="shared" si="0"/>
        <v>402.63300000000004</v>
      </c>
      <c r="I29" s="33">
        <f>H29*1.23</f>
        <v>495.23859000000004</v>
      </c>
      <c r="J29" s="8"/>
    </row>
    <row r="30" spans="1:10" ht="17.25" customHeight="1" x14ac:dyDescent="0.2">
      <c r="A30" s="150"/>
      <c r="B30" s="150"/>
      <c r="C30" s="150"/>
      <c r="D30" s="150"/>
      <c r="E30" s="150"/>
      <c r="F30" s="151" t="s">
        <v>41</v>
      </c>
      <c r="G30" s="151"/>
      <c r="H30" s="55">
        <f>SUM(H26:H29)</f>
        <v>17852.937000000002</v>
      </c>
      <c r="I30" s="56">
        <f>H30*1.23</f>
        <v>21959.112510000003</v>
      </c>
      <c r="J30" s="8"/>
    </row>
    <row r="31" spans="1:10" ht="12" customHeight="1" x14ac:dyDescent="0.2">
      <c r="A31" s="43">
        <v>6</v>
      </c>
      <c r="B31" s="160" t="s">
        <v>56</v>
      </c>
      <c r="C31" s="160"/>
      <c r="D31" s="160"/>
      <c r="E31" s="160"/>
      <c r="F31" s="160"/>
      <c r="G31" s="160"/>
      <c r="H31" s="160"/>
      <c r="I31" s="57"/>
      <c r="J31" s="8"/>
    </row>
    <row r="32" spans="1:10" ht="58.5" customHeight="1" x14ac:dyDescent="0.2">
      <c r="A32" s="49" t="s">
        <v>64</v>
      </c>
      <c r="B32" s="49" t="s">
        <v>13</v>
      </c>
      <c r="C32" s="27" t="s">
        <v>58</v>
      </c>
      <c r="D32" s="28" t="s">
        <v>57</v>
      </c>
      <c r="E32" s="50">
        <v>40</v>
      </c>
      <c r="F32" s="49"/>
      <c r="G32" s="53">
        <v>584.95000000000005</v>
      </c>
      <c r="H32" s="32">
        <f t="shared" si="0"/>
        <v>23398</v>
      </c>
      <c r="I32" s="33">
        <f>H32*1.23</f>
        <v>28779.54</v>
      </c>
      <c r="J32" s="8"/>
    </row>
    <row r="33" spans="1:10" ht="19.5" customHeight="1" x14ac:dyDescent="0.2">
      <c r="A33" s="150"/>
      <c r="B33" s="150"/>
      <c r="C33" s="150"/>
      <c r="D33" s="150"/>
      <c r="E33" s="150"/>
      <c r="F33" s="150"/>
      <c r="G33" s="101" t="s">
        <v>41</v>
      </c>
      <c r="H33" s="101">
        <f>H32</f>
        <v>23398</v>
      </c>
      <c r="I33" s="74">
        <f>I32</f>
        <v>28779.54</v>
      </c>
      <c r="J33" s="8"/>
    </row>
    <row r="34" spans="1:10" ht="18" customHeight="1" x14ac:dyDescent="0.2">
      <c r="A34" s="160" t="s">
        <v>66</v>
      </c>
      <c r="B34" s="160"/>
      <c r="C34" s="160"/>
      <c r="D34" s="160"/>
      <c r="E34" s="160"/>
      <c r="F34" s="160"/>
      <c r="G34" s="160"/>
      <c r="H34" s="160"/>
      <c r="I34" s="160"/>
      <c r="J34" s="8"/>
    </row>
    <row r="35" spans="1:10" ht="48" customHeight="1" x14ac:dyDescent="0.2">
      <c r="A35" s="49" t="s">
        <v>135</v>
      </c>
      <c r="B35" s="49" t="s">
        <v>13</v>
      </c>
      <c r="C35" s="28" t="s">
        <v>83</v>
      </c>
      <c r="D35" s="28" t="s">
        <v>84</v>
      </c>
      <c r="E35" s="85">
        <f>Planilha1!B8</f>
        <v>132.78</v>
      </c>
      <c r="F35" s="49" t="s">
        <v>25</v>
      </c>
      <c r="G35" s="53" t="s">
        <v>85</v>
      </c>
      <c r="H35" s="32">
        <f t="shared" ref="H35:H54" si="1">G35*E35</f>
        <v>9088.7910000000011</v>
      </c>
      <c r="I35" s="33">
        <f>H35*1.23</f>
        <v>11179.212930000002</v>
      </c>
      <c r="J35" s="8"/>
    </row>
    <row r="36" spans="1:10" ht="42.75" customHeight="1" x14ac:dyDescent="0.2">
      <c r="A36" s="49" t="s">
        <v>136</v>
      </c>
      <c r="B36" s="49" t="s">
        <v>13</v>
      </c>
      <c r="C36" s="28" t="s">
        <v>92</v>
      </c>
      <c r="D36" s="28" t="s">
        <v>93</v>
      </c>
      <c r="E36" s="86">
        <f>Planilha1!J3</f>
        <v>50.8</v>
      </c>
      <c r="F36" s="49" t="s">
        <v>25</v>
      </c>
      <c r="G36" s="53" t="s">
        <v>94</v>
      </c>
      <c r="H36" s="32">
        <f t="shared" si="1"/>
        <v>5006.3399999999992</v>
      </c>
      <c r="I36" s="33">
        <f>H36*1.23</f>
        <v>6157.7981999999993</v>
      </c>
      <c r="J36" s="8"/>
    </row>
    <row r="37" spans="1:10" ht="43.5" customHeight="1" x14ac:dyDescent="0.2">
      <c r="A37" s="49" t="s">
        <v>137</v>
      </c>
      <c r="B37" s="49" t="s">
        <v>13</v>
      </c>
      <c r="C37" s="28" t="s">
        <v>96</v>
      </c>
      <c r="D37" s="28" t="s">
        <v>95</v>
      </c>
      <c r="E37" s="85">
        <f>Planilha1!L10</f>
        <v>1322.1759999999999</v>
      </c>
      <c r="F37" s="49" t="s">
        <v>132</v>
      </c>
      <c r="G37" s="53" t="s">
        <v>102</v>
      </c>
      <c r="H37" s="32">
        <f t="shared" si="1"/>
        <v>15152.13696</v>
      </c>
      <c r="I37" s="33">
        <f t="shared" ref="I37:I54" si="2">H37*1.23</f>
        <v>18637.128460799999</v>
      </c>
      <c r="J37" s="8"/>
    </row>
    <row r="38" spans="1:10" ht="34.5" customHeight="1" x14ac:dyDescent="0.2">
      <c r="A38" s="49" t="s">
        <v>138</v>
      </c>
      <c r="B38" s="49" t="s">
        <v>13</v>
      </c>
      <c r="C38" s="28" t="s">
        <v>29</v>
      </c>
      <c r="D38" s="28" t="s">
        <v>103</v>
      </c>
      <c r="E38" s="85">
        <f>Planilha1!B16+Planilha1!B19+Planilha1!B13+Planilha1!E43+Planilha1!D32</f>
        <v>12.48</v>
      </c>
      <c r="F38" s="49" t="s">
        <v>26</v>
      </c>
      <c r="G38" s="53">
        <v>456.42</v>
      </c>
      <c r="H38" s="32">
        <f t="shared" si="1"/>
        <v>5696.1216000000004</v>
      </c>
      <c r="I38" s="33">
        <f t="shared" si="2"/>
        <v>7006.2295680000007</v>
      </c>
      <c r="J38" s="8"/>
    </row>
    <row r="39" spans="1:10" ht="58.5" customHeight="1" x14ac:dyDescent="0.2">
      <c r="A39" s="49" t="s">
        <v>139</v>
      </c>
      <c r="B39" s="49" t="s">
        <v>13</v>
      </c>
      <c r="C39" s="28" t="s">
        <v>105</v>
      </c>
      <c r="D39" s="28" t="s">
        <v>104</v>
      </c>
      <c r="E39" s="85">
        <f>Planilha1!B36</f>
        <v>76</v>
      </c>
      <c r="F39" s="49" t="s">
        <v>133</v>
      </c>
      <c r="G39" s="53">
        <v>165.38</v>
      </c>
      <c r="H39" s="32">
        <f t="shared" si="1"/>
        <v>12568.88</v>
      </c>
      <c r="I39" s="33">
        <f t="shared" si="2"/>
        <v>15459.722399999999</v>
      </c>
      <c r="J39" s="8"/>
    </row>
    <row r="40" spans="1:10" ht="58.5" customHeight="1" x14ac:dyDescent="0.2">
      <c r="A40" s="49" t="s">
        <v>140</v>
      </c>
      <c r="B40" s="49" t="s">
        <v>13</v>
      </c>
      <c r="C40" s="28" t="s">
        <v>107</v>
      </c>
      <c r="D40" s="28" t="s">
        <v>106</v>
      </c>
      <c r="E40" s="85">
        <f>Planilha1!B37</f>
        <v>82.4</v>
      </c>
      <c r="F40" s="49" t="s">
        <v>25</v>
      </c>
      <c r="G40" s="91">
        <v>154.44</v>
      </c>
      <c r="H40" s="32">
        <f t="shared" si="1"/>
        <v>12725.856000000002</v>
      </c>
      <c r="I40" s="33">
        <f t="shared" si="2"/>
        <v>15652.802880000001</v>
      </c>
      <c r="J40" s="8"/>
    </row>
    <row r="41" spans="1:10" ht="58.5" customHeight="1" x14ac:dyDescent="0.2">
      <c r="A41" s="49" t="s">
        <v>141</v>
      </c>
      <c r="B41" s="49" t="s">
        <v>13</v>
      </c>
      <c r="C41" s="28" t="s">
        <v>109</v>
      </c>
      <c r="D41" s="28" t="s">
        <v>108</v>
      </c>
      <c r="E41" s="85">
        <v>82.4</v>
      </c>
      <c r="F41" s="49" t="s">
        <v>25</v>
      </c>
      <c r="G41" s="95">
        <v>87</v>
      </c>
      <c r="H41" s="32">
        <f t="shared" si="1"/>
        <v>7168.8</v>
      </c>
      <c r="I41" s="33">
        <f>H41*1.23</f>
        <v>8817.6239999999998</v>
      </c>
      <c r="J41" s="8"/>
    </row>
    <row r="42" spans="1:10" ht="58.5" customHeight="1" x14ac:dyDescent="0.2">
      <c r="A42" s="49"/>
      <c r="B42" s="49" t="s">
        <v>13</v>
      </c>
      <c r="C42" s="28" t="s">
        <v>157</v>
      </c>
      <c r="D42" s="28" t="s">
        <v>158</v>
      </c>
      <c r="E42" s="85">
        <v>1</v>
      </c>
      <c r="F42" s="49"/>
      <c r="G42" s="31">
        <v>1</v>
      </c>
      <c r="H42" s="32">
        <v>851.57</v>
      </c>
      <c r="I42" s="33">
        <f>H42*1.23</f>
        <v>1047.4311</v>
      </c>
      <c r="J42" s="8"/>
    </row>
    <row r="43" spans="1:10" ht="58.5" customHeight="1" x14ac:dyDescent="0.2">
      <c r="A43" s="49" t="s">
        <v>142</v>
      </c>
      <c r="B43" s="49" t="s">
        <v>13</v>
      </c>
      <c r="C43" s="28" t="s">
        <v>111</v>
      </c>
      <c r="D43" s="28" t="s">
        <v>106</v>
      </c>
      <c r="E43" s="85">
        <v>28</v>
      </c>
      <c r="F43" s="49" t="s">
        <v>25</v>
      </c>
      <c r="G43" s="31">
        <v>154.44</v>
      </c>
      <c r="H43" s="32">
        <f t="shared" si="1"/>
        <v>4324.32</v>
      </c>
      <c r="I43" s="33">
        <f t="shared" si="2"/>
        <v>5318.9135999999999</v>
      </c>
      <c r="J43" s="8"/>
    </row>
    <row r="44" spans="1:10" ht="58.5" customHeight="1" x14ac:dyDescent="0.2">
      <c r="A44" s="49" t="s">
        <v>143</v>
      </c>
      <c r="B44" s="49" t="s">
        <v>13</v>
      </c>
      <c r="C44" s="28" t="s">
        <v>113</v>
      </c>
      <c r="D44" s="28" t="s">
        <v>112</v>
      </c>
      <c r="E44" s="85">
        <f>Planilha1!B8*2</f>
        <v>265.56</v>
      </c>
      <c r="F44" s="49" t="s">
        <v>25</v>
      </c>
      <c r="G44" s="31">
        <v>27.98</v>
      </c>
      <c r="H44" s="32">
        <f t="shared" si="1"/>
        <v>7430.3688000000002</v>
      </c>
      <c r="I44" s="33">
        <f t="shared" si="2"/>
        <v>9139.3536239999994</v>
      </c>
      <c r="J44" s="8"/>
    </row>
    <row r="45" spans="1:10" ht="58.5" customHeight="1" x14ac:dyDescent="0.2">
      <c r="A45" s="28" t="s">
        <v>144</v>
      </c>
      <c r="B45" s="28" t="s">
        <v>13</v>
      </c>
      <c r="C45" s="28" t="s">
        <v>44</v>
      </c>
      <c r="D45" s="28" t="s">
        <v>45</v>
      </c>
      <c r="E45" s="28">
        <v>76</v>
      </c>
      <c r="F45" s="28" t="s">
        <v>25</v>
      </c>
      <c r="G45" s="31">
        <v>77.02</v>
      </c>
      <c r="H45" s="31">
        <f t="shared" si="1"/>
        <v>5853.5199999999995</v>
      </c>
      <c r="I45" s="28">
        <f>H45*1.23</f>
        <v>7199.8295999999991</v>
      </c>
      <c r="J45" s="8"/>
    </row>
    <row r="46" spans="1:10" ht="58.5" customHeight="1" x14ac:dyDescent="0.2">
      <c r="A46" s="28" t="s">
        <v>156</v>
      </c>
      <c r="B46" s="28" t="s">
        <v>13</v>
      </c>
      <c r="C46" s="28" t="s">
        <v>115</v>
      </c>
      <c r="D46" s="28" t="s">
        <v>114</v>
      </c>
      <c r="E46" s="28">
        <f>E43/2</f>
        <v>14</v>
      </c>
      <c r="F46" s="28" t="s">
        <v>25</v>
      </c>
      <c r="G46" s="31">
        <v>14.22</v>
      </c>
      <c r="H46" s="31">
        <f>G46*E46</f>
        <v>199.08</v>
      </c>
      <c r="I46" s="28">
        <f>H46*1.23</f>
        <v>244.86840000000001</v>
      </c>
      <c r="J46" s="8"/>
    </row>
    <row r="47" spans="1:10" ht="58.5" customHeight="1" x14ac:dyDescent="0.2">
      <c r="A47" s="28" t="s">
        <v>166</v>
      </c>
      <c r="B47" s="28" t="s">
        <v>13</v>
      </c>
      <c r="C47" s="28" t="s">
        <v>163</v>
      </c>
      <c r="D47" s="28" t="s">
        <v>162</v>
      </c>
      <c r="E47" s="28">
        <v>150</v>
      </c>
      <c r="F47" s="28" t="s">
        <v>25</v>
      </c>
      <c r="G47" s="31">
        <v>4.4000000000000004</v>
      </c>
      <c r="H47" s="31">
        <f t="shared" si="1"/>
        <v>660</v>
      </c>
      <c r="I47" s="28">
        <f t="shared" si="2"/>
        <v>811.8</v>
      </c>
      <c r="J47" s="8"/>
    </row>
    <row r="48" spans="1:10" ht="58.5" customHeight="1" x14ac:dyDescent="0.2">
      <c r="A48" s="28" t="s">
        <v>167</v>
      </c>
      <c r="B48" s="28" t="s">
        <v>13</v>
      </c>
      <c r="C48" s="28" t="s">
        <v>165</v>
      </c>
      <c r="D48" s="28" t="s">
        <v>164</v>
      </c>
      <c r="E48" s="28">
        <v>30</v>
      </c>
      <c r="F48" s="28" t="s">
        <v>186</v>
      </c>
      <c r="G48" s="31">
        <v>13.72</v>
      </c>
      <c r="H48" s="31">
        <f t="shared" si="1"/>
        <v>411.6</v>
      </c>
      <c r="I48" s="28">
        <f t="shared" si="2"/>
        <v>506.26800000000003</v>
      </c>
      <c r="J48" s="8"/>
    </row>
    <row r="49" spans="1:10" ht="58.5" customHeight="1" x14ac:dyDescent="0.2">
      <c r="A49" s="28" t="s">
        <v>170</v>
      </c>
      <c r="B49" s="28" t="s">
        <v>13</v>
      </c>
      <c r="C49" s="28" t="s">
        <v>169</v>
      </c>
      <c r="D49" s="28" t="s">
        <v>168</v>
      </c>
      <c r="E49" s="28">
        <v>12</v>
      </c>
      <c r="F49" s="28" t="s">
        <v>3</v>
      </c>
      <c r="G49" s="31">
        <v>33.01</v>
      </c>
      <c r="H49" s="31">
        <f t="shared" si="1"/>
        <v>396.12</v>
      </c>
      <c r="I49" s="28">
        <f t="shared" si="2"/>
        <v>487.2276</v>
      </c>
      <c r="J49" s="8"/>
    </row>
    <row r="50" spans="1:10" ht="58.5" customHeight="1" x14ac:dyDescent="0.2">
      <c r="A50" s="28" t="s">
        <v>175</v>
      </c>
      <c r="B50" s="28" t="s">
        <v>13</v>
      </c>
      <c r="C50" s="28" t="s">
        <v>171</v>
      </c>
      <c r="D50" s="28" t="s">
        <v>172</v>
      </c>
      <c r="E50" s="28">
        <v>4</v>
      </c>
      <c r="F50" s="28" t="s">
        <v>187</v>
      </c>
      <c r="G50" s="31">
        <v>19.39</v>
      </c>
      <c r="H50" s="31">
        <f t="shared" si="1"/>
        <v>77.56</v>
      </c>
      <c r="I50" s="28">
        <f t="shared" si="2"/>
        <v>95.398800000000008</v>
      </c>
      <c r="J50" s="8"/>
    </row>
    <row r="51" spans="1:10" ht="58.5" customHeight="1" x14ac:dyDescent="0.2">
      <c r="A51" s="28" t="s">
        <v>176</v>
      </c>
      <c r="B51" s="28" t="s">
        <v>13</v>
      </c>
      <c r="C51" s="28" t="s">
        <v>174</v>
      </c>
      <c r="D51" s="28" t="s">
        <v>173</v>
      </c>
      <c r="E51" s="28">
        <v>10</v>
      </c>
      <c r="F51" s="28" t="s">
        <v>3</v>
      </c>
      <c r="G51" s="31">
        <v>15.26</v>
      </c>
      <c r="H51" s="31">
        <f t="shared" si="1"/>
        <v>152.6</v>
      </c>
      <c r="I51" s="28">
        <f t="shared" si="2"/>
        <v>187.69799999999998</v>
      </c>
      <c r="J51" s="8"/>
    </row>
    <row r="52" spans="1:10" ht="58.5" customHeight="1" x14ac:dyDescent="0.2">
      <c r="A52" s="28" t="s">
        <v>181</v>
      </c>
      <c r="B52" s="28" t="s">
        <v>13</v>
      </c>
      <c r="C52" s="28" t="s">
        <v>178</v>
      </c>
      <c r="D52" s="28" t="s">
        <v>177</v>
      </c>
      <c r="E52" s="28">
        <v>1</v>
      </c>
      <c r="F52" s="28" t="s">
        <v>3</v>
      </c>
      <c r="G52" s="31">
        <v>121.98</v>
      </c>
      <c r="H52" s="31">
        <f t="shared" si="1"/>
        <v>121.98</v>
      </c>
      <c r="I52" s="28">
        <f t="shared" si="2"/>
        <v>150.03540000000001</v>
      </c>
      <c r="J52" s="8"/>
    </row>
    <row r="53" spans="1:10" ht="58.5" customHeight="1" x14ac:dyDescent="0.2">
      <c r="A53" s="28" t="s">
        <v>182</v>
      </c>
      <c r="B53" s="28" t="s">
        <v>13</v>
      </c>
      <c r="C53" s="28" t="s">
        <v>179</v>
      </c>
      <c r="D53" s="28" t="s">
        <v>180</v>
      </c>
      <c r="E53" s="28">
        <v>5</v>
      </c>
      <c r="F53" s="28" t="s">
        <v>3</v>
      </c>
      <c r="G53" s="31">
        <v>42.6</v>
      </c>
      <c r="H53" s="31">
        <f t="shared" si="1"/>
        <v>213</v>
      </c>
      <c r="I53" s="28">
        <f t="shared" si="2"/>
        <v>261.99</v>
      </c>
      <c r="J53" s="8"/>
    </row>
    <row r="54" spans="1:10" ht="58.5" customHeight="1" x14ac:dyDescent="0.2">
      <c r="A54" s="28" t="s">
        <v>185</v>
      </c>
      <c r="B54" s="28"/>
      <c r="C54" s="28" t="s">
        <v>184</v>
      </c>
      <c r="D54" s="28" t="s">
        <v>183</v>
      </c>
      <c r="E54" s="28">
        <v>8</v>
      </c>
      <c r="F54" s="28" t="s">
        <v>3</v>
      </c>
      <c r="G54" s="31">
        <v>68.569999999999993</v>
      </c>
      <c r="H54" s="31">
        <f t="shared" si="1"/>
        <v>548.55999999999995</v>
      </c>
      <c r="I54" s="28">
        <f t="shared" si="2"/>
        <v>674.72879999999998</v>
      </c>
      <c r="J54" s="8"/>
    </row>
    <row r="55" spans="1:10" ht="24.75" customHeight="1" x14ac:dyDescent="0.2">
      <c r="A55" s="89"/>
      <c r="B55" s="90"/>
      <c r="C55" s="98"/>
      <c r="D55" s="98"/>
      <c r="E55" s="98"/>
      <c r="F55" s="155" t="s">
        <v>41</v>
      </c>
      <c r="G55" s="156"/>
      <c r="H55" s="99">
        <f>SUM(H35:H54)</f>
        <v>88647.204360000018</v>
      </c>
      <c r="I55" s="97">
        <f>SUM(I35:I54)</f>
        <v>109036.06136279998</v>
      </c>
      <c r="J55" s="8"/>
    </row>
    <row r="56" spans="1:10" ht="15.75" customHeight="1" x14ac:dyDescent="0.2">
      <c r="A56" s="152" t="s">
        <v>70</v>
      </c>
      <c r="B56" s="153"/>
      <c r="C56" s="153"/>
      <c r="D56" s="153"/>
      <c r="E56" s="153"/>
      <c r="F56" s="153"/>
      <c r="G56" s="153"/>
      <c r="H56" s="153"/>
      <c r="I56" s="154"/>
      <c r="J56" s="8"/>
    </row>
    <row r="57" spans="1:10" ht="58.5" customHeight="1" x14ac:dyDescent="0.2">
      <c r="A57" s="58" t="s">
        <v>145</v>
      </c>
      <c r="B57" s="59" t="s">
        <v>13</v>
      </c>
      <c r="C57" s="28" t="s">
        <v>117</v>
      </c>
      <c r="D57" s="28" t="s">
        <v>116</v>
      </c>
      <c r="E57" s="64">
        <f>Planilha1!F22+Planilha1!F23+Planilha1!F27+Planilha1!F28+Planilha1!F29</f>
        <v>18.840000000000003</v>
      </c>
      <c r="F57" s="60" t="s">
        <v>25</v>
      </c>
      <c r="G57" s="31">
        <v>441.05</v>
      </c>
      <c r="H57" s="32">
        <f>G57*E57</f>
        <v>8309.3820000000014</v>
      </c>
      <c r="I57" s="33">
        <f>H57*1.23</f>
        <v>10220.539860000001</v>
      </c>
      <c r="J57" s="8"/>
    </row>
    <row r="58" spans="1:10" ht="12.75" customHeight="1" x14ac:dyDescent="0.2">
      <c r="A58" s="152"/>
      <c r="B58" s="153"/>
      <c r="C58" s="153"/>
      <c r="D58" s="153"/>
      <c r="E58" s="153"/>
      <c r="F58" s="154"/>
      <c r="G58" s="78" t="s">
        <v>118</v>
      </c>
      <c r="H58" s="79">
        <f>H57</f>
        <v>8309.3820000000014</v>
      </c>
      <c r="I58" s="74">
        <f>I57</f>
        <v>10220.539860000001</v>
      </c>
      <c r="J58" s="8"/>
    </row>
    <row r="59" spans="1:10" ht="12.75" customHeight="1" x14ac:dyDescent="0.2">
      <c r="A59" s="76"/>
      <c r="B59" s="75"/>
      <c r="C59" s="75"/>
      <c r="D59" s="75" t="s">
        <v>129</v>
      </c>
      <c r="E59" s="75"/>
      <c r="F59" s="77"/>
      <c r="G59" s="78"/>
      <c r="H59" s="79"/>
      <c r="I59" s="74"/>
      <c r="J59" s="8"/>
    </row>
    <row r="60" spans="1:10" ht="35.25" customHeight="1" x14ac:dyDescent="0.2">
      <c r="A60" s="46" t="s">
        <v>146</v>
      </c>
      <c r="B60" s="49" t="s">
        <v>13</v>
      </c>
      <c r="C60" s="28" t="s">
        <v>96</v>
      </c>
      <c r="D60" s="28" t="s">
        <v>95</v>
      </c>
      <c r="E60" s="85">
        <v>1100</v>
      </c>
      <c r="F60" s="49" t="s">
        <v>132</v>
      </c>
      <c r="G60" s="52">
        <v>11.46</v>
      </c>
      <c r="H60" s="32">
        <f>G60*E60</f>
        <v>12606.000000000002</v>
      </c>
      <c r="I60" s="33">
        <f t="shared" ref="I60:I68" si="3">H60*1.23</f>
        <v>15505.380000000003</v>
      </c>
      <c r="J60" s="8"/>
    </row>
    <row r="61" spans="1:10" ht="35.25" customHeight="1" x14ac:dyDescent="0.2">
      <c r="A61" s="46" t="s">
        <v>147</v>
      </c>
      <c r="B61" s="49" t="s">
        <v>13</v>
      </c>
      <c r="C61" s="28" t="s">
        <v>92</v>
      </c>
      <c r="D61" s="28" t="s">
        <v>93</v>
      </c>
      <c r="E61" s="86">
        <f>Planilha1!B52*3</f>
        <v>9.4499999999999993</v>
      </c>
      <c r="F61" s="49" t="s">
        <v>25</v>
      </c>
      <c r="G61" s="52">
        <v>98.55</v>
      </c>
      <c r="H61" s="32">
        <f>G61*E61</f>
        <v>931.2974999999999</v>
      </c>
      <c r="I61" s="33">
        <f t="shared" si="3"/>
        <v>1145.4959249999999</v>
      </c>
      <c r="J61" s="8"/>
    </row>
    <row r="62" spans="1:10" ht="35.25" customHeight="1" x14ac:dyDescent="0.2">
      <c r="A62" s="46" t="s">
        <v>148</v>
      </c>
      <c r="B62" s="28" t="s">
        <v>13</v>
      </c>
      <c r="C62" s="49" t="s">
        <v>29</v>
      </c>
      <c r="D62" s="50" t="s">
        <v>28</v>
      </c>
      <c r="E62" s="81">
        <f>Planilha1!B54+Planilha1!B59+Planilha1!B58</f>
        <v>2.5785</v>
      </c>
      <c r="F62" s="49" t="s">
        <v>26</v>
      </c>
      <c r="G62" s="52">
        <v>456.42</v>
      </c>
      <c r="H62" s="32">
        <f>E62*G62</f>
        <v>1176.87897</v>
      </c>
      <c r="I62" s="33">
        <f t="shared" si="3"/>
        <v>1447.5611331</v>
      </c>
      <c r="J62" s="33">
        <f>I62*1.23</f>
        <v>1780.500193713</v>
      </c>
    </row>
    <row r="63" spans="1:10" ht="35.25" customHeight="1" x14ac:dyDescent="0.2">
      <c r="A63" s="46" t="s">
        <v>149</v>
      </c>
      <c r="B63" s="49" t="s">
        <v>13</v>
      </c>
      <c r="C63" s="28" t="s">
        <v>130</v>
      </c>
      <c r="D63" s="28" t="s">
        <v>131</v>
      </c>
      <c r="E63" s="85">
        <f>E62</f>
        <v>2.5785</v>
      </c>
      <c r="F63" s="49" t="s">
        <v>26</v>
      </c>
      <c r="G63" s="52">
        <v>164.2</v>
      </c>
      <c r="H63" s="31">
        <f>E63*G63</f>
        <v>423.38969999999995</v>
      </c>
      <c r="I63" s="33">
        <f t="shared" si="3"/>
        <v>520.76933099999997</v>
      </c>
      <c r="J63" s="8"/>
    </row>
    <row r="64" spans="1:10" ht="35.25" customHeight="1" x14ac:dyDescent="0.2">
      <c r="A64" s="46" t="s">
        <v>150</v>
      </c>
      <c r="B64" s="49" t="s">
        <v>13</v>
      </c>
      <c r="C64" s="28" t="s">
        <v>83</v>
      </c>
      <c r="D64" s="28" t="s">
        <v>84</v>
      </c>
      <c r="E64" s="85">
        <f>Planilha1!B49</f>
        <v>36.4</v>
      </c>
      <c r="F64" s="49" t="s">
        <v>25</v>
      </c>
      <c r="G64" s="52">
        <v>68.45</v>
      </c>
      <c r="H64" s="32">
        <f>G64*E64</f>
        <v>2491.58</v>
      </c>
      <c r="I64" s="33">
        <f t="shared" si="3"/>
        <v>3064.6433999999999</v>
      </c>
      <c r="J64" s="33">
        <f>I64*1.23</f>
        <v>3769.5113819999997</v>
      </c>
    </row>
    <row r="65" spans="1:10" ht="35.25" customHeight="1" x14ac:dyDescent="0.2">
      <c r="A65" s="46" t="s">
        <v>151</v>
      </c>
      <c r="B65" s="49" t="s">
        <v>13</v>
      </c>
      <c r="C65" s="28" t="s">
        <v>113</v>
      </c>
      <c r="D65" s="28" t="s">
        <v>112</v>
      </c>
      <c r="E65" s="85">
        <f>E64*2</f>
        <v>72.8</v>
      </c>
      <c r="F65" s="49" t="s">
        <v>25</v>
      </c>
      <c r="G65" s="52">
        <v>27.98</v>
      </c>
      <c r="H65" s="32">
        <f>G65*E65</f>
        <v>2036.944</v>
      </c>
      <c r="I65" s="33">
        <f t="shared" si="3"/>
        <v>2505.44112</v>
      </c>
      <c r="J65" s="82"/>
    </row>
    <row r="66" spans="1:10" ht="35.25" customHeight="1" x14ac:dyDescent="0.2">
      <c r="A66" s="46" t="s">
        <v>152</v>
      </c>
      <c r="B66" s="49" t="s">
        <v>13</v>
      </c>
      <c r="C66" s="28" t="s">
        <v>111</v>
      </c>
      <c r="D66" s="28" t="s">
        <v>110</v>
      </c>
      <c r="E66" s="85">
        <f>Planilha1!D65</f>
        <v>133.25520833333334</v>
      </c>
      <c r="F66" s="49" t="s">
        <v>132</v>
      </c>
      <c r="G66" s="52">
        <v>20.09</v>
      </c>
      <c r="H66" s="32">
        <f>G66*E66</f>
        <v>2677.0971354166668</v>
      </c>
      <c r="I66" s="33">
        <f t="shared" si="3"/>
        <v>3292.8294765625001</v>
      </c>
      <c r="J66" s="82"/>
    </row>
    <row r="67" spans="1:10" ht="35.25" customHeight="1" x14ac:dyDescent="0.2">
      <c r="A67" s="84" t="s">
        <v>153</v>
      </c>
      <c r="B67" s="59" t="s">
        <v>13</v>
      </c>
      <c r="C67" s="28" t="s">
        <v>154</v>
      </c>
      <c r="D67" s="28" t="s">
        <v>155</v>
      </c>
      <c r="E67" s="64">
        <v>14</v>
      </c>
      <c r="F67" s="59" t="s">
        <v>25</v>
      </c>
      <c r="G67" s="83">
        <v>49.5</v>
      </c>
      <c r="H67" s="32">
        <f>G67*E67</f>
        <v>693</v>
      </c>
      <c r="I67" s="33">
        <f t="shared" si="3"/>
        <v>852.39</v>
      </c>
      <c r="J67" s="82"/>
    </row>
    <row r="68" spans="1:10" ht="20.25" customHeight="1" x14ac:dyDescent="0.2">
      <c r="A68" s="87"/>
      <c r="B68" s="88"/>
      <c r="C68" s="88"/>
      <c r="D68" s="88"/>
      <c r="E68" s="88"/>
      <c r="F68" s="161" t="s">
        <v>41</v>
      </c>
      <c r="G68" s="162"/>
      <c r="H68" s="37">
        <f>SUM(H60:H67)</f>
        <v>23036.187305416664</v>
      </c>
      <c r="I68" s="54">
        <f t="shared" si="3"/>
        <v>28334.510385662496</v>
      </c>
      <c r="J68" s="8"/>
    </row>
    <row r="69" spans="1:10" ht="15" customHeight="1" x14ac:dyDescent="0.2">
      <c r="A69" s="166" t="s">
        <v>1</v>
      </c>
      <c r="B69" s="166"/>
      <c r="C69" s="166"/>
      <c r="D69" s="166"/>
      <c r="E69" s="166"/>
      <c r="F69" s="166"/>
      <c r="G69" s="157">
        <f>H58+H55+H33+H30+H24+H20+H16+H12+H68</f>
        <v>296873.42321541667</v>
      </c>
      <c r="H69" s="158"/>
      <c r="I69" s="159"/>
    </row>
    <row r="70" spans="1:10" ht="15.75" x14ac:dyDescent="0.2">
      <c r="A70" s="166" t="s">
        <v>12</v>
      </c>
      <c r="B70" s="166"/>
      <c r="C70" s="166"/>
      <c r="D70" s="166"/>
      <c r="E70" s="166"/>
      <c r="F70" s="166"/>
      <c r="G70" s="157">
        <f>G69*1.23</f>
        <v>365154.31055496249</v>
      </c>
      <c r="H70" s="158"/>
      <c r="I70" s="159"/>
    </row>
    <row r="71" spans="1:10" ht="18" customHeight="1" x14ac:dyDescent="0.2">
      <c r="A71" s="7"/>
      <c r="B71" s="7"/>
      <c r="C71" s="7"/>
      <c r="D71" s="8"/>
      <c r="E71" s="9"/>
      <c r="F71" s="8"/>
      <c r="G71" s="92"/>
      <c r="H71" s="21"/>
      <c r="I71" s="80"/>
    </row>
    <row r="72" spans="1:10" ht="13.5" customHeight="1" x14ac:dyDescent="0.2">
      <c r="A72" s="7"/>
      <c r="B72" s="7"/>
      <c r="C72" s="7"/>
      <c r="D72" s="8"/>
      <c r="E72" s="9"/>
      <c r="F72" s="8"/>
      <c r="G72" s="92"/>
      <c r="H72" s="21"/>
    </row>
    <row r="73" spans="1:10" ht="12.75" x14ac:dyDescent="0.2">
      <c r="A73" s="7"/>
      <c r="B73" s="7"/>
      <c r="C73" s="7"/>
      <c r="D73" s="10" t="s">
        <v>160</v>
      </c>
      <c r="E73" s="9"/>
      <c r="F73" s="8"/>
      <c r="G73" s="92"/>
      <c r="H73" s="96" t="s">
        <v>159</v>
      </c>
    </row>
    <row r="74" spans="1:10" x14ac:dyDescent="0.2">
      <c r="A74" s="11"/>
      <c r="B74" s="11"/>
      <c r="C74" s="11"/>
      <c r="D74" s="13" t="s">
        <v>161</v>
      </c>
      <c r="E74" s="12"/>
      <c r="F74" s="14"/>
      <c r="G74" s="93"/>
      <c r="H74" s="21"/>
    </row>
    <row r="75" spans="1:10" x14ac:dyDescent="0.2">
      <c r="A75" s="7"/>
      <c r="B75" s="7"/>
      <c r="C75" s="7"/>
      <c r="D75" s="13"/>
      <c r="E75" s="12"/>
      <c r="F75" s="14"/>
      <c r="G75" s="93"/>
      <c r="H75" s="21"/>
    </row>
    <row r="76" spans="1:10" x14ac:dyDescent="0.2">
      <c r="A76" s="7"/>
      <c r="B76" s="7"/>
      <c r="C76" s="7"/>
      <c r="D76" s="13"/>
      <c r="E76" s="12"/>
      <c r="F76" s="14"/>
      <c r="G76" s="93"/>
      <c r="H76" s="21"/>
    </row>
    <row r="77" spans="1:10" x14ac:dyDescent="0.2">
      <c r="A77" s="7"/>
      <c r="B77" s="7"/>
      <c r="C77" s="7"/>
      <c r="D77" s="15"/>
      <c r="E77" s="16"/>
      <c r="F77" s="16"/>
      <c r="G77" s="93"/>
      <c r="H77" s="21"/>
    </row>
    <row r="78" spans="1:10" x14ac:dyDescent="0.2">
      <c r="A78" s="7"/>
      <c r="B78" s="7"/>
      <c r="C78" s="7"/>
      <c r="E78" s="9"/>
      <c r="F78" s="8"/>
      <c r="G78" s="92"/>
      <c r="H78" s="21"/>
    </row>
    <row r="79" spans="1:10" x14ac:dyDescent="0.2">
      <c r="A79" s="7"/>
      <c r="B79" s="7"/>
      <c r="C79" s="7"/>
      <c r="E79" s="9"/>
      <c r="F79" s="8"/>
      <c r="G79" s="92"/>
      <c r="H79" s="21"/>
    </row>
    <row r="80" spans="1:10" x14ac:dyDescent="0.2">
      <c r="A80" s="7"/>
      <c r="B80" s="7"/>
      <c r="C80" s="7"/>
      <c r="E80" s="9"/>
      <c r="F80" s="8"/>
      <c r="G80" s="92"/>
      <c r="H80" s="21"/>
    </row>
    <row r="81" spans="1:8" ht="21.75" customHeight="1" x14ac:dyDescent="0.2">
      <c r="A81" s="7"/>
      <c r="B81" s="7"/>
      <c r="C81" s="7"/>
      <c r="E81" s="9"/>
      <c r="F81" s="8"/>
      <c r="G81" s="92"/>
      <c r="H81" s="21"/>
    </row>
    <row r="82" spans="1:8" ht="21.75" customHeight="1" x14ac:dyDescent="0.2">
      <c r="A82" s="7"/>
      <c r="B82" s="7"/>
      <c r="C82" s="7"/>
      <c r="E82" s="9"/>
      <c r="F82" s="8"/>
      <c r="G82" s="92"/>
      <c r="H82" s="21"/>
    </row>
    <row r="83" spans="1:8" ht="21.75" customHeight="1" x14ac:dyDescent="0.2">
      <c r="A83" s="7"/>
      <c r="B83" s="7"/>
      <c r="C83" s="7"/>
      <c r="E83" s="9"/>
      <c r="F83" s="8"/>
      <c r="G83" s="92"/>
      <c r="H83" s="21"/>
    </row>
    <row r="84" spans="1:8" ht="21.75" customHeight="1" x14ac:dyDescent="0.2">
      <c r="A84" s="7"/>
      <c r="B84" s="7"/>
      <c r="C84" s="7"/>
      <c r="E84" s="9"/>
      <c r="F84" s="8"/>
      <c r="G84" s="92"/>
      <c r="H84" s="21"/>
    </row>
    <row r="85" spans="1:8" ht="21.75" customHeight="1" x14ac:dyDescent="0.2">
      <c r="A85" s="7"/>
      <c r="B85" s="7"/>
      <c r="C85" s="7"/>
      <c r="E85" s="9"/>
      <c r="F85" s="8"/>
      <c r="G85" s="92"/>
      <c r="H85" s="21"/>
    </row>
    <row r="86" spans="1:8" ht="24" customHeight="1" x14ac:dyDescent="0.2">
      <c r="A86" s="7"/>
      <c r="B86" s="7"/>
      <c r="C86" s="7"/>
      <c r="E86" s="9"/>
      <c r="F86" s="8"/>
      <c r="G86" s="92"/>
      <c r="H86" s="21"/>
    </row>
    <row r="87" spans="1:8" ht="24" customHeight="1" x14ac:dyDescent="0.2">
      <c r="A87" s="7"/>
      <c r="B87" s="7"/>
      <c r="C87" s="7"/>
      <c r="E87" s="9"/>
      <c r="F87" s="8"/>
      <c r="G87" s="92"/>
      <c r="H87" s="21"/>
    </row>
    <row r="88" spans="1:8" x14ac:dyDescent="0.2">
      <c r="A88" s="7"/>
      <c r="B88" s="7"/>
      <c r="C88" s="7"/>
      <c r="E88" s="9"/>
      <c r="F88" s="8"/>
      <c r="G88" s="92"/>
      <c r="H88" s="21"/>
    </row>
    <row r="89" spans="1:8" x14ac:dyDescent="0.2">
      <c r="A89" s="7"/>
      <c r="B89" s="7"/>
      <c r="C89" s="7"/>
      <c r="E89" s="9"/>
      <c r="F89" s="8"/>
      <c r="G89" s="92"/>
      <c r="H89" s="21"/>
    </row>
    <row r="90" spans="1:8" x14ac:dyDescent="0.2">
      <c r="A90" s="7"/>
      <c r="B90" s="7"/>
      <c r="C90" s="7"/>
      <c r="E90" s="9"/>
      <c r="F90" s="8"/>
      <c r="G90" s="92"/>
      <c r="H90" s="21"/>
    </row>
    <row r="91" spans="1:8" x14ac:dyDescent="0.2">
      <c r="A91" s="7"/>
      <c r="B91" s="7"/>
      <c r="C91" s="7"/>
      <c r="E91" s="9"/>
      <c r="F91" s="8"/>
      <c r="G91" s="92"/>
      <c r="H91" s="21"/>
    </row>
    <row r="92" spans="1:8" ht="15" customHeight="1" x14ac:dyDescent="0.2">
      <c r="A92" s="7"/>
      <c r="B92" s="7"/>
      <c r="C92" s="7"/>
      <c r="E92" s="9"/>
      <c r="F92" s="8"/>
      <c r="G92" s="92"/>
      <c r="H92" s="21"/>
    </row>
    <row r="93" spans="1:8" ht="15" customHeight="1" x14ac:dyDescent="0.2">
      <c r="A93" s="7"/>
      <c r="B93" s="7"/>
      <c r="C93" s="7"/>
      <c r="E93" s="9"/>
      <c r="F93" s="8"/>
      <c r="G93" s="92"/>
      <c r="H93" s="21"/>
    </row>
    <row r="94" spans="1:8" ht="15" customHeight="1" x14ac:dyDescent="0.2">
      <c r="A94" s="7"/>
      <c r="B94" s="7"/>
      <c r="C94" s="7"/>
      <c r="E94" s="9"/>
      <c r="F94" s="8"/>
      <c r="G94" s="92"/>
      <c r="H94" s="21"/>
    </row>
    <row r="95" spans="1:8" ht="15" customHeight="1" x14ac:dyDescent="0.2">
      <c r="A95" s="7"/>
      <c r="B95" s="7"/>
      <c r="C95" s="7"/>
      <c r="E95" s="9"/>
      <c r="F95" s="8"/>
      <c r="G95" s="92"/>
      <c r="H95" s="21"/>
    </row>
    <row r="96" spans="1:8" ht="15" customHeight="1" x14ac:dyDescent="0.2">
      <c r="A96" s="7"/>
      <c r="B96" s="7"/>
      <c r="C96" s="7"/>
      <c r="E96" s="9"/>
      <c r="F96" s="8"/>
      <c r="G96" s="92"/>
      <c r="H96" s="21"/>
    </row>
    <row r="97" spans="1:8" ht="15" customHeight="1" x14ac:dyDescent="0.2">
      <c r="A97" s="7"/>
      <c r="B97" s="7"/>
      <c r="C97" s="7"/>
      <c r="E97" s="9"/>
      <c r="F97" s="8"/>
      <c r="G97" s="92"/>
      <c r="H97" s="21"/>
    </row>
    <row r="98" spans="1:8" ht="15" customHeight="1" x14ac:dyDescent="0.2">
      <c r="A98" s="7"/>
      <c r="B98" s="7"/>
      <c r="C98" s="7"/>
      <c r="E98" s="9"/>
      <c r="F98" s="8"/>
      <c r="G98" s="92"/>
      <c r="H98" s="21"/>
    </row>
    <row r="99" spans="1:8" ht="15" customHeight="1" x14ac:dyDescent="0.2">
      <c r="A99" s="7"/>
      <c r="B99" s="7"/>
      <c r="C99" s="7"/>
      <c r="E99" s="9"/>
      <c r="F99" s="8"/>
      <c r="G99" s="92"/>
      <c r="H99" s="21"/>
    </row>
    <row r="100" spans="1:8" ht="15" customHeight="1" x14ac:dyDescent="0.2">
      <c r="A100" s="7"/>
      <c r="B100" s="7"/>
      <c r="C100" s="7"/>
      <c r="E100" s="9"/>
      <c r="F100" s="8"/>
      <c r="G100" s="92"/>
      <c r="H100" s="21"/>
    </row>
    <row r="101" spans="1:8" ht="15" customHeight="1" x14ac:dyDescent="0.2">
      <c r="A101" s="7"/>
      <c r="B101" s="7"/>
      <c r="C101" s="7"/>
      <c r="E101" s="9"/>
      <c r="F101" s="8"/>
      <c r="G101" s="92"/>
      <c r="H101" s="21"/>
    </row>
    <row r="102" spans="1:8" ht="15" customHeight="1" x14ac:dyDescent="0.2">
      <c r="A102" s="7"/>
      <c r="B102" s="7"/>
      <c r="C102" s="7"/>
      <c r="E102" s="9"/>
      <c r="F102" s="8"/>
      <c r="G102" s="92"/>
      <c r="H102" s="21"/>
    </row>
    <row r="103" spans="1:8" ht="15" customHeight="1" x14ac:dyDescent="0.2">
      <c r="A103" s="7"/>
      <c r="B103" s="7"/>
      <c r="C103" s="7"/>
      <c r="E103" s="9"/>
      <c r="F103" s="8"/>
      <c r="G103" s="92"/>
      <c r="H103" s="21"/>
    </row>
    <row r="104" spans="1:8" ht="15" customHeight="1" x14ac:dyDescent="0.2">
      <c r="A104" s="7"/>
      <c r="B104" s="7"/>
      <c r="C104" s="7"/>
      <c r="E104" s="9"/>
      <c r="F104" s="8"/>
      <c r="G104" s="92"/>
      <c r="H104" s="21"/>
    </row>
    <row r="105" spans="1:8" ht="15" customHeight="1" x14ac:dyDescent="0.2">
      <c r="A105" s="2"/>
      <c r="B105" s="7"/>
      <c r="C105" s="7"/>
      <c r="E105" s="9"/>
      <c r="F105" s="8"/>
      <c r="G105" s="92"/>
      <c r="H105" s="21"/>
    </row>
    <row r="106" spans="1:8" ht="15" customHeight="1" x14ac:dyDescent="0.2">
      <c r="A106" s="2"/>
      <c r="B106" s="7"/>
      <c r="C106" s="7"/>
      <c r="E106" s="9"/>
      <c r="F106" s="8"/>
      <c r="G106" s="92"/>
      <c r="H106" s="21"/>
    </row>
    <row r="107" spans="1:8" x14ac:dyDescent="0.2">
      <c r="A107" s="2"/>
      <c r="B107" s="7"/>
      <c r="C107" s="7"/>
      <c r="E107" s="9"/>
      <c r="F107" s="8"/>
      <c r="G107" s="92"/>
      <c r="H107" s="21"/>
    </row>
    <row r="108" spans="1:8" x14ac:dyDescent="0.2">
      <c r="A108" s="2"/>
      <c r="B108" s="7"/>
      <c r="C108" s="7"/>
      <c r="E108" s="9"/>
      <c r="F108" s="8"/>
      <c r="G108" s="92"/>
      <c r="H108" s="21"/>
    </row>
    <row r="109" spans="1:8" x14ac:dyDescent="0.2">
      <c r="A109" s="2"/>
      <c r="B109" s="7"/>
      <c r="C109" s="7"/>
      <c r="E109" s="5"/>
    </row>
    <row r="110" spans="1:8" x14ac:dyDescent="0.2">
      <c r="A110" s="2"/>
      <c r="B110" s="7"/>
      <c r="C110" s="7"/>
      <c r="E110" s="5"/>
    </row>
    <row r="111" spans="1:8" x14ac:dyDescent="0.2">
      <c r="A111" s="2"/>
      <c r="B111" s="7"/>
      <c r="C111" s="7"/>
      <c r="E111" s="5"/>
    </row>
    <row r="112" spans="1:8" x14ac:dyDescent="0.2">
      <c r="A112" s="2"/>
      <c r="B112" s="7"/>
      <c r="C112" s="7"/>
      <c r="E112" s="5"/>
    </row>
    <row r="113" spans="1:5" x14ac:dyDescent="0.2">
      <c r="A113" s="2"/>
      <c r="B113" s="7"/>
      <c r="C113" s="7"/>
      <c r="E113" s="5"/>
    </row>
    <row r="114" spans="1:5" x14ac:dyDescent="0.2">
      <c r="A114" s="2"/>
      <c r="B114" s="7"/>
      <c r="C114" s="7"/>
      <c r="E114" s="5"/>
    </row>
    <row r="115" spans="1:5" x14ac:dyDescent="0.2">
      <c r="A115" s="2"/>
      <c r="B115" s="7"/>
      <c r="C115" s="7"/>
      <c r="E115" s="5"/>
    </row>
    <row r="116" spans="1:5" x14ac:dyDescent="0.2">
      <c r="A116" s="2"/>
      <c r="B116" s="7"/>
      <c r="C116" s="7"/>
      <c r="E116" s="5"/>
    </row>
    <row r="117" spans="1:5" x14ac:dyDescent="0.2">
      <c r="A117" s="2"/>
      <c r="B117" s="7"/>
      <c r="C117" s="7"/>
      <c r="E117" s="5"/>
    </row>
    <row r="118" spans="1:5" x14ac:dyDescent="0.2">
      <c r="A118" s="2"/>
      <c r="B118" s="7"/>
      <c r="C118" s="7"/>
      <c r="E118" s="5"/>
    </row>
    <row r="119" spans="1:5" x14ac:dyDescent="0.2">
      <c r="A119" s="2"/>
      <c r="B119" s="7"/>
      <c r="C119" s="7"/>
      <c r="E119" s="5"/>
    </row>
    <row r="120" spans="1:5" x14ac:dyDescent="0.2">
      <c r="A120" s="2"/>
      <c r="B120" s="7"/>
      <c r="C120" s="7"/>
      <c r="E120" s="5"/>
    </row>
    <row r="121" spans="1:5" x14ac:dyDescent="0.2">
      <c r="A121" s="2"/>
      <c r="B121" s="7"/>
      <c r="C121" s="7"/>
      <c r="E121" s="5"/>
    </row>
    <row r="122" spans="1:5" x14ac:dyDescent="0.2">
      <c r="A122" s="2"/>
      <c r="B122" s="7"/>
      <c r="C122" s="7"/>
      <c r="E122" s="5"/>
    </row>
    <row r="123" spans="1:5" x14ac:dyDescent="0.2">
      <c r="A123" s="2"/>
      <c r="B123" s="7"/>
      <c r="C123" s="7"/>
      <c r="E123" s="5"/>
    </row>
    <row r="124" spans="1:5" x14ac:dyDescent="0.2">
      <c r="A124" s="2"/>
      <c r="B124" s="7"/>
      <c r="C124" s="7"/>
      <c r="E124" s="5"/>
    </row>
    <row r="125" spans="1:5" x14ac:dyDescent="0.2">
      <c r="A125" s="2"/>
      <c r="B125" s="7"/>
      <c r="C125" s="7"/>
      <c r="E125" s="5"/>
    </row>
    <row r="126" spans="1:5" x14ac:dyDescent="0.2">
      <c r="A126" s="2"/>
      <c r="B126" s="7"/>
      <c r="C126" s="7"/>
      <c r="E126" s="5"/>
    </row>
    <row r="127" spans="1:5" x14ac:dyDescent="0.2">
      <c r="A127" s="2"/>
      <c r="B127" s="7"/>
      <c r="C127" s="7"/>
      <c r="E127" s="5"/>
    </row>
    <row r="128" spans="1:5" x14ac:dyDescent="0.2">
      <c r="A128" s="2"/>
      <c r="B128" s="7"/>
      <c r="C128" s="7"/>
      <c r="E128" s="5"/>
    </row>
    <row r="129" spans="1:5" x14ac:dyDescent="0.2">
      <c r="A129" s="2"/>
      <c r="B129" s="7"/>
      <c r="C129" s="7"/>
      <c r="E129" s="5"/>
    </row>
    <row r="130" spans="1:5" x14ac:dyDescent="0.2">
      <c r="A130" s="2"/>
      <c r="B130" s="7"/>
      <c r="C130" s="7"/>
      <c r="E130" s="5"/>
    </row>
    <row r="131" spans="1:5" x14ac:dyDescent="0.2">
      <c r="A131" s="2"/>
      <c r="B131" s="7"/>
      <c r="C131" s="7"/>
      <c r="E131" s="5"/>
    </row>
    <row r="132" spans="1:5" x14ac:dyDescent="0.2">
      <c r="A132" s="2"/>
      <c r="B132" s="7"/>
      <c r="C132" s="7"/>
      <c r="E132" s="5"/>
    </row>
    <row r="133" spans="1:5" x14ac:dyDescent="0.2">
      <c r="A133" s="2"/>
      <c r="B133" s="7"/>
      <c r="C133" s="7"/>
      <c r="E133" s="5"/>
    </row>
    <row r="134" spans="1:5" x14ac:dyDescent="0.2">
      <c r="A134" s="2"/>
      <c r="B134" s="7"/>
      <c r="C134" s="7"/>
      <c r="E134" s="5"/>
    </row>
    <row r="135" spans="1:5" x14ac:dyDescent="0.2">
      <c r="A135" s="2"/>
      <c r="B135" s="7"/>
      <c r="C135" s="7"/>
      <c r="E135" s="5"/>
    </row>
    <row r="136" spans="1:5" x14ac:dyDescent="0.2">
      <c r="A136" s="2"/>
      <c r="B136" s="7"/>
      <c r="C136" s="7"/>
      <c r="E136" s="5"/>
    </row>
    <row r="137" spans="1:5" x14ac:dyDescent="0.2">
      <c r="A137" s="2"/>
      <c r="B137" s="7"/>
      <c r="C137" s="7"/>
      <c r="E137" s="5"/>
    </row>
    <row r="138" spans="1:5" x14ac:dyDescent="0.2">
      <c r="A138" s="2"/>
      <c r="B138" s="7"/>
      <c r="C138" s="7"/>
      <c r="E138" s="5"/>
    </row>
    <row r="139" spans="1:5" x14ac:dyDescent="0.2">
      <c r="A139" s="2"/>
      <c r="B139" s="7"/>
      <c r="C139" s="7"/>
      <c r="E139" s="5"/>
    </row>
    <row r="140" spans="1:5" x14ac:dyDescent="0.2">
      <c r="A140" s="2"/>
      <c r="B140" s="7"/>
      <c r="C140" s="7"/>
      <c r="E140" s="5"/>
    </row>
    <row r="141" spans="1:5" x14ac:dyDescent="0.2">
      <c r="A141" s="2"/>
      <c r="B141" s="7"/>
      <c r="C141" s="7"/>
      <c r="E141" s="5"/>
    </row>
    <row r="142" spans="1:5" x14ac:dyDescent="0.2">
      <c r="A142" s="2"/>
      <c r="B142" s="7"/>
      <c r="C142" s="7"/>
      <c r="E142" s="5"/>
    </row>
    <row r="143" spans="1:5" x14ac:dyDescent="0.2">
      <c r="A143" s="2"/>
      <c r="B143" s="7"/>
      <c r="C143" s="7"/>
      <c r="E143" s="5"/>
    </row>
    <row r="144" spans="1:5" x14ac:dyDescent="0.2">
      <c r="A144" s="2"/>
      <c r="B144" s="7"/>
      <c r="C144" s="7"/>
      <c r="E144" s="5"/>
    </row>
    <row r="145" spans="1:5" x14ac:dyDescent="0.2">
      <c r="A145" s="2"/>
      <c r="B145" s="7"/>
      <c r="C145" s="7"/>
      <c r="E145" s="5"/>
    </row>
    <row r="146" spans="1:5" x14ac:dyDescent="0.2">
      <c r="A146" s="2"/>
      <c r="B146" s="7"/>
      <c r="C146" s="7"/>
      <c r="E146" s="5"/>
    </row>
    <row r="147" spans="1:5" x14ac:dyDescent="0.2">
      <c r="A147" s="2"/>
      <c r="B147" s="7"/>
      <c r="C147" s="7"/>
      <c r="E147" s="5"/>
    </row>
    <row r="148" spans="1:5" x14ac:dyDescent="0.2">
      <c r="A148" s="2"/>
      <c r="B148" s="7"/>
      <c r="C148" s="7"/>
      <c r="E148" s="5"/>
    </row>
    <row r="149" spans="1:5" x14ac:dyDescent="0.2">
      <c r="A149" s="2"/>
      <c r="B149" s="7"/>
      <c r="C149" s="7"/>
      <c r="E149" s="5"/>
    </row>
    <row r="150" spans="1:5" x14ac:dyDescent="0.2">
      <c r="A150" s="2"/>
      <c r="B150" s="7"/>
      <c r="C150" s="7"/>
      <c r="E150" s="5"/>
    </row>
    <row r="151" spans="1:5" x14ac:dyDescent="0.2">
      <c r="A151" s="2"/>
      <c r="B151" s="7"/>
      <c r="C151" s="7"/>
      <c r="E151" s="5"/>
    </row>
    <row r="152" spans="1:5" x14ac:dyDescent="0.2">
      <c r="A152" s="2"/>
      <c r="B152" s="7"/>
      <c r="C152" s="7"/>
      <c r="E152" s="5"/>
    </row>
    <row r="153" spans="1:5" x14ac:dyDescent="0.2">
      <c r="A153" s="2"/>
      <c r="B153" s="7"/>
      <c r="C153" s="7"/>
      <c r="E153" s="5"/>
    </row>
    <row r="154" spans="1:5" x14ac:dyDescent="0.2">
      <c r="A154" s="2"/>
      <c r="B154" s="7"/>
      <c r="C154" s="7"/>
      <c r="E154" s="5"/>
    </row>
    <row r="155" spans="1:5" x14ac:dyDescent="0.2">
      <c r="A155" s="2"/>
      <c r="B155" s="7"/>
      <c r="C155" s="7"/>
      <c r="E155" s="5"/>
    </row>
    <row r="156" spans="1:5" x14ac:dyDescent="0.2">
      <c r="A156" s="2"/>
      <c r="B156" s="7"/>
      <c r="C156" s="7"/>
      <c r="E156" s="5"/>
    </row>
    <row r="157" spans="1:5" x14ac:dyDescent="0.2">
      <c r="A157" s="2"/>
      <c r="B157" s="7"/>
      <c r="C157" s="7"/>
      <c r="E157" s="5"/>
    </row>
    <row r="158" spans="1:5" x14ac:dyDescent="0.2">
      <c r="A158" s="2"/>
      <c r="B158" s="7"/>
      <c r="C158" s="7"/>
      <c r="E158" s="5"/>
    </row>
    <row r="159" spans="1:5" x14ac:dyDescent="0.2">
      <c r="A159" s="2"/>
      <c r="B159" s="7"/>
      <c r="C159" s="7"/>
      <c r="E159" s="5"/>
    </row>
    <row r="160" spans="1:5" x14ac:dyDescent="0.2">
      <c r="A160" s="2"/>
      <c r="B160" s="7"/>
      <c r="C160" s="7"/>
      <c r="E160" s="5"/>
    </row>
    <row r="161" spans="1:5" x14ac:dyDescent="0.2">
      <c r="A161" s="2"/>
      <c r="B161" s="7"/>
      <c r="C161" s="7"/>
      <c r="E161" s="5"/>
    </row>
    <row r="162" spans="1:5" x14ac:dyDescent="0.2">
      <c r="A162" s="2"/>
      <c r="B162" s="7"/>
      <c r="C162" s="7"/>
      <c r="E162" s="5"/>
    </row>
    <row r="163" spans="1:5" x14ac:dyDescent="0.2">
      <c r="A163" s="2"/>
      <c r="B163" s="7"/>
      <c r="C163" s="7"/>
      <c r="E163" s="5"/>
    </row>
    <row r="164" spans="1:5" x14ac:dyDescent="0.2">
      <c r="A164" s="2"/>
      <c r="B164" s="7"/>
      <c r="C164" s="7"/>
      <c r="E164" s="5"/>
    </row>
    <row r="165" spans="1:5" x14ac:dyDescent="0.2">
      <c r="A165" s="2"/>
      <c r="B165" s="7"/>
      <c r="C165" s="7"/>
      <c r="E165" s="5"/>
    </row>
    <row r="166" spans="1:5" x14ac:dyDescent="0.2">
      <c r="A166" s="2"/>
      <c r="B166" s="7"/>
      <c r="C166" s="7"/>
      <c r="E166" s="5"/>
    </row>
    <row r="167" spans="1:5" x14ac:dyDescent="0.2">
      <c r="A167" s="2"/>
      <c r="B167" s="7"/>
      <c r="C167" s="7"/>
      <c r="E167" s="5"/>
    </row>
    <row r="168" spans="1:5" x14ac:dyDescent="0.2">
      <c r="A168" s="2"/>
      <c r="B168" s="7"/>
      <c r="C168" s="7"/>
      <c r="E168" s="5"/>
    </row>
    <row r="169" spans="1:5" x14ac:dyDescent="0.2">
      <c r="A169" s="2"/>
      <c r="B169" s="7"/>
      <c r="C169" s="7"/>
      <c r="E169" s="5"/>
    </row>
    <row r="170" spans="1:5" x14ac:dyDescent="0.2">
      <c r="A170" s="2"/>
      <c r="B170" s="7"/>
      <c r="C170" s="7"/>
      <c r="E170" s="5"/>
    </row>
  </sheetData>
  <mergeCells count="32">
    <mergeCell ref="G70:I70"/>
    <mergeCell ref="D7:G7"/>
    <mergeCell ref="A1:I1"/>
    <mergeCell ref="A2:I2"/>
    <mergeCell ref="A5:I5"/>
    <mergeCell ref="A70:F70"/>
    <mergeCell ref="B25:H25"/>
    <mergeCell ref="B8:H8"/>
    <mergeCell ref="B13:H13"/>
    <mergeCell ref="B17:H17"/>
    <mergeCell ref="B21:H21"/>
    <mergeCell ref="A69:F69"/>
    <mergeCell ref="B31:H31"/>
    <mergeCell ref="A3:I3"/>
    <mergeCell ref="A4:I4"/>
    <mergeCell ref="A33:F33"/>
    <mergeCell ref="A56:I56"/>
    <mergeCell ref="F55:G55"/>
    <mergeCell ref="G69:I69"/>
    <mergeCell ref="A34:I34"/>
    <mergeCell ref="A58:F58"/>
    <mergeCell ref="F68:G68"/>
    <mergeCell ref="F30:G30"/>
    <mergeCell ref="F20:G20"/>
    <mergeCell ref="F16:G16"/>
    <mergeCell ref="F12:G12"/>
    <mergeCell ref="F24:G24"/>
    <mergeCell ref="A20:E20"/>
    <mergeCell ref="A16:E16"/>
    <mergeCell ref="A12:E12"/>
    <mergeCell ref="A24:E24"/>
    <mergeCell ref="A30:E30"/>
  </mergeCells>
  <phoneticPr fontId="0" type="noConversion"/>
  <pageMargins left="0.45343137254901961" right="0.28125" top="1.6220238095238095" bottom="1.3779527559055118" header="0.35433070866141736" footer="0.19685039370078741"/>
  <pageSetup paperSize="9" fitToHeight="0" orientation="landscape" horizontalDpi="300" verticalDpi="300" r:id="rId1"/>
  <headerFooter alignWithMargins="0">
    <oddHeader>&amp;C&amp;G</oddHeader>
    <oddFooter>&amp;LSetor de Obras - Rua Décio Antônio Balestra, 272 - CEP 17120-000 - Fone:14 3261 3000 - e-mail: pmagudos@gmail.com&amp;R 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5"/>
  <sheetViews>
    <sheetView topLeftCell="A32" workbookViewId="0">
      <selection activeCell="D65" sqref="D65"/>
    </sheetView>
  </sheetViews>
  <sheetFormatPr defaultRowHeight="12.75" x14ac:dyDescent="0.2"/>
  <cols>
    <col min="1" max="1" width="18.28515625" customWidth="1"/>
    <col min="2" max="2" width="10.5703125" style="62" bestFit="1" customWidth="1"/>
    <col min="3" max="3" width="9.140625" style="62"/>
    <col min="7" max="7" width="16.140625" customWidth="1"/>
  </cols>
  <sheetData>
    <row r="2" spans="1:20" x14ac:dyDescent="0.2">
      <c r="A2" t="s">
        <v>30</v>
      </c>
      <c r="B2" s="62">
        <v>116.4</v>
      </c>
      <c r="C2" s="62" t="s">
        <v>21</v>
      </c>
      <c r="J2" s="61" t="s">
        <v>87</v>
      </c>
    </row>
    <row r="3" spans="1:20" x14ac:dyDescent="0.2">
      <c r="A3" t="s">
        <v>31</v>
      </c>
      <c r="B3" s="62">
        <v>93.95</v>
      </c>
      <c r="C3" s="62" t="s">
        <v>21</v>
      </c>
      <c r="J3">
        <f>B11+B18*0.3*2</f>
        <v>50.8</v>
      </c>
    </row>
    <row r="4" spans="1:20" x14ac:dyDescent="0.2">
      <c r="A4" t="s">
        <v>32</v>
      </c>
      <c r="B4" s="62">
        <v>265</v>
      </c>
      <c r="C4" s="62" t="s">
        <v>25</v>
      </c>
      <c r="E4">
        <f>B4*4.2</f>
        <v>1113</v>
      </c>
    </row>
    <row r="5" spans="1:20" x14ac:dyDescent="0.2">
      <c r="N5">
        <v>7.4039999999999999</v>
      </c>
    </row>
    <row r="6" spans="1:20" x14ac:dyDescent="0.2">
      <c r="B6" s="63" t="s">
        <v>69</v>
      </c>
      <c r="J6" s="61" t="s">
        <v>97</v>
      </c>
    </row>
    <row r="7" spans="1:20" x14ac:dyDescent="0.2">
      <c r="A7" s="61" t="s">
        <v>67</v>
      </c>
      <c r="B7" s="63"/>
      <c r="C7" s="63"/>
      <c r="D7" s="61"/>
      <c r="E7" s="61"/>
      <c r="G7" s="61"/>
      <c r="H7" s="61"/>
      <c r="J7" s="61" t="s">
        <v>98</v>
      </c>
    </row>
    <row r="8" spans="1:20" x14ac:dyDescent="0.2">
      <c r="A8" s="61" t="s">
        <v>68</v>
      </c>
      <c r="B8" s="63">
        <f>20.43+21.74+27.34+34.25+17.56+1.94+9.52</f>
        <v>132.78</v>
      </c>
      <c r="C8" s="63" t="s">
        <v>25</v>
      </c>
      <c r="I8" s="73" t="s">
        <v>99</v>
      </c>
      <c r="J8" s="62">
        <f>B12+B20*4</f>
        <v>112</v>
      </c>
    </row>
    <row r="9" spans="1:20" x14ac:dyDescent="0.2">
      <c r="A9" s="61"/>
      <c r="B9" s="63"/>
      <c r="C9" s="63"/>
      <c r="J9" s="61" t="s">
        <v>100</v>
      </c>
      <c r="T9">
        <f>J10+J8+J13/0.15</f>
        <v>1216</v>
      </c>
    </row>
    <row r="10" spans="1:20" x14ac:dyDescent="0.2">
      <c r="A10" s="65" t="s">
        <v>86</v>
      </c>
      <c r="B10" s="66"/>
      <c r="C10" s="66"/>
      <c r="D10" s="67"/>
      <c r="E10" s="67"/>
      <c r="F10" s="67"/>
      <c r="G10" s="67"/>
      <c r="J10">
        <f>B15*3*4</f>
        <v>144</v>
      </c>
      <c r="L10" s="62">
        <f>J8+J10+J13*N5</f>
        <v>1322.1759999999999</v>
      </c>
      <c r="T10">
        <f>T9*0.8</f>
        <v>972.80000000000007</v>
      </c>
    </row>
    <row r="11" spans="1:20" x14ac:dyDescent="0.2">
      <c r="A11" s="61" t="s">
        <v>87</v>
      </c>
      <c r="B11" s="63">
        <v>40</v>
      </c>
      <c r="C11" s="63" t="s">
        <v>21</v>
      </c>
    </row>
    <row r="12" spans="1:20" x14ac:dyDescent="0.2">
      <c r="A12" s="61" t="s">
        <v>90</v>
      </c>
      <c r="B12" s="63">
        <v>40</v>
      </c>
      <c r="C12" s="63" t="s">
        <v>21</v>
      </c>
      <c r="J12" s="61" t="s">
        <v>101</v>
      </c>
    </row>
    <row r="13" spans="1:20" x14ac:dyDescent="0.2">
      <c r="A13" s="61" t="s">
        <v>88</v>
      </c>
      <c r="B13" s="63">
        <f>B11*0.2*0.2</f>
        <v>1.6</v>
      </c>
      <c r="C13" s="63"/>
      <c r="J13">
        <f>J10</f>
        <v>144</v>
      </c>
    </row>
    <row r="14" spans="1:20" x14ac:dyDescent="0.2">
      <c r="A14" s="68" t="s">
        <v>89</v>
      </c>
      <c r="B14" s="69">
        <v>12</v>
      </c>
      <c r="C14" s="69">
        <v>3</v>
      </c>
    </row>
    <row r="15" spans="1:20" x14ac:dyDescent="0.2">
      <c r="A15" s="61" t="s">
        <v>90</v>
      </c>
      <c r="B15" s="63">
        <v>12</v>
      </c>
      <c r="C15" s="63">
        <v>3</v>
      </c>
    </row>
    <row r="16" spans="1:20" x14ac:dyDescent="0.2">
      <c r="A16" s="61" t="s">
        <v>88</v>
      </c>
      <c r="B16" s="63">
        <v>4</v>
      </c>
      <c r="C16" s="63" t="s">
        <v>26</v>
      </c>
    </row>
    <row r="17" spans="1:11" x14ac:dyDescent="0.2">
      <c r="A17" s="68" t="s">
        <v>91</v>
      </c>
      <c r="B17" s="69">
        <v>18</v>
      </c>
      <c r="C17" s="69"/>
      <c r="K17">
        <f>0.3*3*0.3*12</f>
        <v>3.2399999999999993</v>
      </c>
    </row>
    <row r="18" spans="1:11" x14ac:dyDescent="0.2">
      <c r="A18" s="61" t="s">
        <v>87</v>
      </c>
      <c r="B18" s="63">
        <v>18</v>
      </c>
      <c r="C18" s="63"/>
    </row>
    <row r="19" spans="1:11" x14ac:dyDescent="0.2">
      <c r="A19" s="61" t="s">
        <v>88</v>
      </c>
      <c r="B19" s="63">
        <f>B18*0.3*0.2</f>
        <v>1.0799999999999998</v>
      </c>
      <c r="C19" s="63" t="s">
        <v>26</v>
      </c>
      <c r="I19" s="61"/>
    </row>
    <row r="20" spans="1:11" x14ac:dyDescent="0.2">
      <c r="A20" s="61" t="s">
        <v>90</v>
      </c>
      <c r="B20" s="63">
        <v>18</v>
      </c>
      <c r="C20" s="63" t="s">
        <v>21</v>
      </c>
    </row>
    <row r="21" spans="1:11" x14ac:dyDescent="0.2">
      <c r="A21" s="70" t="s">
        <v>70</v>
      </c>
      <c r="B21" s="71"/>
      <c r="C21" s="71"/>
      <c r="D21" s="72"/>
      <c r="E21" s="72"/>
      <c r="F21" s="72"/>
      <c r="G21" s="72"/>
    </row>
    <row r="22" spans="1:11" x14ac:dyDescent="0.2">
      <c r="A22" s="61" t="s">
        <v>71</v>
      </c>
      <c r="B22" s="62">
        <v>2.1</v>
      </c>
      <c r="C22" s="62">
        <v>3</v>
      </c>
      <c r="D22" s="61" t="s">
        <v>73</v>
      </c>
      <c r="F22">
        <f>C22*B22</f>
        <v>6.3000000000000007</v>
      </c>
    </row>
    <row r="23" spans="1:11" x14ac:dyDescent="0.2">
      <c r="B23" s="62">
        <v>2.1</v>
      </c>
      <c r="C23" s="62">
        <v>3</v>
      </c>
      <c r="D23" s="61" t="s">
        <v>73</v>
      </c>
      <c r="F23">
        <f>C23*B23</f>
        <v>6.3000000000000007</v>
      </c>
    </row>
    <row r="24" spans="1:11" x14ac:dyDescent="0.2">
      <c r="D24" s="61"/>
      <c r="F24">
        <f t="shared" ref="F24:F29" si="0">C24*B24</f>
        <v>0</v>
      </c>
    </row>
    <row r="25" spans="1:11" x14ac:dyDescent="0.2">
      <c r="B25" s="62">
        <v>2.1</v>
      </c>
      <c r="C25" s="62">
        <v>0.8</v>
      </c>
      <c r="D25" s="61" t="s">
        <v>74</v>
      </c>
    </row>
    <row r="26" spans="1:11" x14ac:dyDescent="0.2">
      <c r="D26" s="61"/>
      <c r="F26">
        <f t="shared" si="0"/>
        <v>0</v>
      </c>
    </row>
    <row r="27" spans="1:11" x14ac:dyDescent="0.2">
      <c r="A27" s="61" t="s">
        <v>72</v>
      </c>
      <c r="B27" s="62">
        <v>3.6</v>
      </c>
      <c r="C27" s="62">
        <v>1</v>
      </c>
      <c r="D27" s="61" t="s">
        <v>73</v>
      </c>
      <c r="F27">
        <f t="shared" si="0"/>
        <v>3.6</v>
      </c>
    </row>
    <row r="28" spans="1:11" x14ac:dyDescent="0.2">
      <c r="B28" s="62">
        <v>2</v>
      </c>
      <c r="C28" s="62">
        <v>1</v>
      </c>
      <c r="D28" s="61" t="s">
        <v>73</v>
      </c>
      <c r="F28">
        <f t="shared" si="0"/>
        <v>2</v>
      </c>
    </row>
    <row r="29" spans="1:11" x14ac:dyDescent="0.2">
      <c r="B29" s="62">
        <v>0.8</v>
      </c>
      <c r="C29" s="62">
        <v>0.8</v>
      </c>
      <c r="D29" s="61" t="s">
        <v>73</v>
      </c>
      <c r="F29">
        <f t="shared" si="0"/>
        <v>0.64000000000000012</v>
      </c>
    </row>
    <row r="32" spans="1:11" x14ac:dyDescent="0.2">
      <c r="A32" s="61" t="s">
        <v>75</v>
      </c>
      <c r="B32" s="62">
        <v>76</v>
      </c>
      <c r="C32" s="63" t="s">
        <v>25</v>
      </c>
      <c r="D32">
        <f>B32*0.05</f>
        <v>3.8000000000000003</v>
      </c>
    </row>
    <row r="34" spans="1:14" x14ac:dyDescent="0.2">
      <c r="A34" s="61" t="s">
        <v>76</v>
      </c>
    </row>
    <row r="36" spans="1:14" x14ac:dyDescent="0.2">
      <c r="B36" s="62">
        <v>76</v>
      </c>
      <c r="C36" s="63" t="s">
        <v>25</v>
      </c>
    </row>
    <row r="37" spans="1:14" x14ac:dyDescent="0.2">
      <c r="A37" s="61" t="s">
        <v>77</v>
      </c>
      <c r="B37" s="62">
        <v>82.4</v>
      </c>
      <c r="C37" s="63" t="s">
        <v>25</v>
      </c>
    </row>
    <row r="39" spans="1:14" x14ac:dyDescent="0.2">
      <c r="E39" s="61" t="s">
        <v>80</v>
      </c>
    </row>
    <row r="40" spans="1:14" x14ac:dyDescent="0.2">
      <c r="A40" s="61" t="s">
        <v>78</v>
      </c>
      <c r="B40" s="63" t="s">
        <v>79</v>
      </c>
      <c r="D40">
        <v>2.8</v>
      </c>
      <c r="E40">
        <v>8</v>
      </c>
      <c r="F40">
        <f>E40*D40</f>
        <v>22.4</v>
      </c>
      <c r="G40" s="61" t="s">
        <v>21</v>
      </c>
      <c r="J40">
        <v>7.1</v>
      </c>
    </row>
    <row r="41" spans="1:14" x14ac:dyDescent="0.2">
      <c r="B41" s="63" t="s">
        <v>81</v>
      </c>
      <c r="D41">
        <v>2.2200000000000002</v>
      </c>
      <c r="E41">
        <v>4</v>
      </c>
      <c r="F41">
        <f>E41*D41</f>
        <v>8.8800000000000008</v>
      </c>
      <c r="G41" s="61" t="s">
        <v>21</v>
      </c>
      <c r="J41">
        <f>J40*F40*F41</f>
        <v>1412.2752</v>
      </c>
    </row>
    <row r="42" spans="1:14" x14ac:dyDescent="0.2">
      <c r="B42" s="63" t="s">
        <v>82</v>
      </c>
      <c r="D42">
        <v>10.4</v>
      </c>
      <c r="E42">
        <v>9</v>
      </c>
      <c r="F42">
        <f>E42*D42</f>
        <v>93.600000000000009</v>
      </c>
      <c r="G42" s="61" t="s">
        <v>21</v>
      </c>
      <c r="N42">
        <f>D40*10</f>
        <v>28</v>
      </c>
    </row>
    <row r="43" spans="1:14" x14ac:dyDescent="0.2">
      <c r="B43" s="63" t="s">
        <v>75</v>
      </c>
      <c r="D43">
        <v>40</v>
      </c>
      <c r="E43">
        <f>D43*0.05</f>
        <v>2</v>
      </c>
      <c r="G43" s="61" t="s">
        <v>25</v>
      </c>
    </row>
    <row r="48" spans="1:14" x14ac:dyDescent="0.2">
      <c r="A48" s="61" t="s">
        <v>119</v>
      </c>
    </row>
    <row r="49" spans="1:10" x14ac:dyDescent="0.2">
      <c r="A49" s="61" t="s">
        <v>124</v>
      </c>
      <c r="B49" s="62">
        <f>3.5*10.4</f>
        <v>36.4</v>
      </c>
    </row>
    <row r="50" spans="1:10" x14ac:dyDescent="0.2">
      <c r="A50">
        <v>10.5</v>
      </c>
    </row>
    <row r="51" spans="1:10" x14ac:dyDescent="0.2">
      <c r="A51" s="61" t="s">
        <v>120</v>
      </c>
    </row>
    <row r="52" spans="1:10" x14ac:dyDescent="0.2">
      <c r="A52" s="61" t="s">
        <v>121</v>
      </c>
      <c r="B52" s="63">
        <f>10.5*0.3</f>
        <v>3.15</v>
      </c>
      <c r="J52">
        <f>B53*N5*4</f>
        <v>310.96800000000002</v>
      </c>
    </row>
    <row r="53" spans="1:10" x14ac:dyDescent="0.2">
      <c r="A53" s="61" t="s">
        <v>97</v>
      </c>
      <c r="B53" s="62">
        <v>10.5</v>
      </c>
      <c r="I53">
        <f>5*3*4</f>
        <v>60</v>
      </c>
      <c r="J53">
        <f>I53*N5</f>
        <v>444.24</v>
      </c>
    </row>
    <row r="54" spans="1:10" x14ac:dyDescent="0.2">
      <c r="A54" s="61" t="s">
        <v>122</v>
      </c>
      <c r="B54" s="63">
        <f>10.5*0.3*0.3</f>
        <v>0.94499999999999995</v>
      </c>
    </row>
    <row r="55" spans="1:10" x14ac:dyDescent="0.2">
      <c r="A55" s="61" t="s">
        <v>123</v>
      </c>
      <c r="B55" s="62">
        <f>0.3*0.3*3*5</f>
        <v>1.35</v>
      </c>
    </row>
    <row r="56" spans="1:10" x14ac:dyDescent="0.2">
      <c r="A56" s="61" t="s">
        <v>97</v>
      </c>
      <c r="J56">
        <f>B57*6*N5</f>
        <v>444.24</v>
      </c>
    </row>
    <row r="57" spans="1:10" x14ac:dyDescent="0.2">
      <c r="A57" s="61" t="s">
        <v>125</v>
      </c>
      <c r="B57" s="62">
        <v>10</v>
      </c>
      <c r="J57">
        <f>B60*4*N5</f>
        <v>444.24</v>
      </c>
    </row>
    <row r="58" spans="1:10" x14ac:dyDescent="0.2">
      <c r="A58" s="61" t="s">
        <v>126</v>
      </c>
      <c r="B58" s="62">
        <f>B52*0.3*0.3</f>
        <v>0.28349999999999997</v>
      </c>
    </row>
    <row r="59" spans="1:10" x14ac:dyDescent="0.2">
      <c r="A59" s="61" t="s">
        <v>127</v>
      </c>
      <c r="B59" s="62">
        <f>5*0.3*0.3*3</f>
        <v>1.3499999999999999</v>
      </c>
    </row>
    <row r="60" spans="1:10" x14ac:dyDescent="0.2">
      <c r="A60" s="61" t="s">
        <v>128</v>
      </c>
      <c r="B60" s="62">
        <f>3*5</f>
        <v>15</v>
      </c>
    </row>
    <row r="63" spans="1:10" x14ac:dyDescent="0.2">
      <c r="A63" s="61" t="s">
        <v>134</v>
      </c>
      <c r="E63">
        <v>5.95</v>
      </c>
    </row>
    <row r="64" spans="1:10" x14ac:dyDescent="0.2">
      <c r="C64" s="62">
        <f>2.5/0.08</f>
        <v>31.25</v>
      </c>
    </row>
    <row r="65" spans="3:4" x14ac:dyDescent="0.2">
      <c r="C65" s="62">
        <f>C64*4.3</f>
        <v>134.375</v>
      </c>
      <c r="D65">
        <f>C65*E63/6</f>
        <v>133.25520833333334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N32" sqref="N32"/>
    </sheetView>
  </sheetViews>
  <sheetFormatPr defaultRowHeight="12.75" x14ac:dyDescent="0.2"/>
  <cols>
    <col min="1" max="1" width="6.85546875" customWidth="1"/>
    <col min="2" max="2" width="23.7109375" customWidth="1"/>
    <col min="3" max="3" width="13.5703125" customWidth="1"/>
    <col min="4" max="4" width="17.85546875" customWidth="1"/>
    <col min="5" max="5" width="16.5703125" customWidth="1"/>
    <col min="6" max="6" width="15.85546875" customWidth="1"/>
    <col min="7" max="7" width="16.140625" customWidth="1"/>
    <col min="8" max="8" width="16.28515625" bestFit="1" customWidth="1"/>
    <col min="9" max="10" width="16.5703125" customWidth="1"/>
    <col min="11" max="11" width="15.85546875" customWidth="1"/>
    <col min="12" max="12" width="16" customWidth="1"/>
    <col min="13" max="13" width="18.140625" customWidth="1"/>
    <col min="14" max="14" width="15.7109375" customWidth="1"/>
    <col min="15" max="15" width="15.42578125" customWidth="1"/>
    <col min="16" max="16" width="15.140625" customWidth="1"/>
    <col min="17" max="17" width="20.7109375" customWidth="1"/>
  </cols>
  <sheetData>
    <row r="1" spans="1:17" ht="15.75" x14ac:dyDescent="0.2">
      <c r="A1" s="181" t="s">
        <v>188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3"/>
    </row>
    <row r="2" spans="1:17" ht="15" customHeight="1" x14ac:dyDescent="0.2">
      <c r="A2" s="184" t="str">
        <f>[1]Orçamento!A1</f>
        <v>PLANILHA ORÇAMENTÁRIA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6"/>
    </row>
    <row r="3" spans="1:17" ht="15" customHeight="1" x14ac:dyDescent="0.2">
      <c r="A3" s="184" t="str">
        <f>ORÇAMENTO!A2</f>
        <v>Obra:  Projeto REFORMA VILA DA ESPERANÇA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6"/>
    </row>
    <row r="4" spans="1:17" ht="15" customHeight="1" x14ac:dyDescent="0.2">
      <c r="A4" s="184" t="str">
        <f>ORÇAMENTO!A4</f>
        <v>ENDEREÇO: RUA CESAR DE CONTI S/N - AGUDOS -SP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6"/>
    </row>
    <row r="5" spans="1:17" ht="31.5" x14ac:dyDescent="0.2">
      <c r="A5" s="105" t="s">
        <v>189</v>
      </c>
      <c r="B5" s="106" t="s">
        <v>190</v>
      </c>
      <c r="C5" s="106" t="s">
        <v>191</v>
      </c>
      <c r="D5" s="106" t="s">
        <v>35</v>
      </c>
      <c r="E5" s="106" t="s">
        <v>192</v>
      </c>
      <c r="F5" s="106" t="s">
        <v>193</v>
      </c>
      <c r="G5" s="106" t="s">
        <v>194</v>
      </c>
      <c r="H5" s="106" t="s">
        <v>199</v>
      </c>
      <c r="I5" s="106" t="s">
        <v>200</v>
      </c>
      <c r="J5" s="106" t="s">
        <v>201</v>
      </c>
      <c r="K5" s="106" t="s">
        <v>202</v>
      </c>
      <c r="L5" s="106" t="s">
        <v>203</v>
      </c>
      <c r="M5" s="106" t="s">
        <v>204</v>
      </c>
      <c r="N5" s="106" t="s">
        <v>205</v>
      </c>
      <c r="O5" s="106" t="s">
        <v>206</v>
      </c>
      <c r="P5" s="107" t="s">
        <v>207</v>
      </c>
    </row>
    <row r="6" spans="1:17" ht="15" x14ac:dyDescent="0.2">
      <c r="A6" s="108">
        <v>1</v>
      </c>
      <c r="B6" s="109" t="str">
        <f>ORÇAMENTO!B8</f>
        <v>GUIAS E SARJETAS</v>
      </c>
      <c r="C6" s="110">
        <f>ORÇAMENTO!E10</f>
        <v>116.4</v>
      </c>
      <c r="D6" s="111">
        <f>ORÇAMENTO!I12</f>
        <v>12333.967680000002</v>
      </c>
      <c r="E6" s="112">
        <f>D6</f>
        <v>12333.967680000002</v>
      </c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3"/>
      <c r="Q6" s="102"/>
    </row>
    <row r="7" spans="1:17" ht="30" x14ac:dyDescent="0.2">
      <c r="A7" s="108">
        <v>2</v>
      </c>
      <c r="B7" s="109" t="str">
        <f>ORÇAMENTO!B13</f>
        <v>TELHAMAENTO METÁLICO COMUM</v>
      </c>
      <c r="C7" s="110">
        <f>ORÇAMENTO!E14</f>
        <v>140.92500000000001</v>
      </c>
      <c r="D7" s="111">
        <f>ORÇAMENTO!I16</f>
        <v>36913.889836499999</v>
      </c>
      <c r="E7" s="112">
        <f>D7/2</f>
        <v>18456.944918249999</v>
      </c>
      <c r="F7" s="112">
        <f>D7/2</f>
        <v>18456.944918249999</v>
      </c>
      <c r="G7" s="112"/>
      <c r="H7" s="112"/>
      <c r="I7" s="112"/>
      <c r="J7" s="112"/>
      <c r="K7" s="112"/>
      <c r="L7" s="112"/>
      <c r="M7" s="112"/>
      <c r="N7" s="112"/>
      <c r="O7" s="112"/>
      <c r="P7" s="113"/>
      <c r="Q7" s="102"/>
    </row>
    <row r="8" spans="1:17" ht="15" x14ac:dyDescent="0.2">
      <c r="A8" s="108">
        <v>3</v>
      </c>
      <c r="B8" s="109" t="str">
        <f>ORÇAMENTO!B17</f>
        <v xml:space="preserve"> KIT-NET</v>
      </c>
      <c r="C8" s="110">
        <f>ORÇAMENTO!E19</f>
        <v>506</v>
      </c>
      <c r="D8" s="111">
        <f>ORÇAMENTO!I20</f>
        <v>98765.482199999999</v>
      </c>
      <c r="E8" s="112"/>
      <c r="F8" s="112"/>
      <c r="G8" s="112">
        <f>D8/4</f>
        <v>24691.37055</v>
      </c>
      <c r="H8" s="112">
        <f>G8</f>
        <v>24691.37055</v>
      </c>
      <c r="I8" s="112">
        <f>H8</f>
        <v>24691.37055</v>
      </c>
      <c r="J8" s="112">
        <f>I8</f>
        <v>24691.37055</v>
      </c>
      <c r="K8" s="112"/>
      <c r="L8" s="112"/>
      <c r="M8" s="112"/>
      <c r="N8" s="112"/>
      <c r="O8" s="112"/>
      <c r="P8" s="113"/>
      <c r="Q8" s="102"/>
    </row>
    <row r="9" spans="1:17" ht="15" x14ac:dyDescent="0.2">
      <c r="A9" s="108">
        <v>4</v>
      </c>
      <c r="B9" s="109" t="str">
        <f>ORÇAMENTO!B21</f>
        <v>MURETA AREA</v>
      </c>
      <c r="C9" s="110">
        <f>ORÇAMENTO!E22</f>
        <v>54</v>
      </c>
      <c r="D9" s="111">
        <f>ORÇAMENTO!I24</f>
        <v>18811.206719999998</v>
      </c>
      <c r="E9" s="112">
        <f>F9</f>
        <v>6270.4022399999994</v>
      </c>
      <c r="F9" s="112">
        <f>D9/3</f>
        <v>6270.4022399999994</v>
      </c>
      <c r="G9" s="112">
        <f>F9</f>
        <v>6270.4022399999994</v>
      </c>
      <c r="H9" s="112"/>
      <c r="I9" s="112"/>
      <c r="J9" s="112"/>
      <c r="K9" s="112"/>
      <c r="L9" s="112"/>
      <c r="M9" s="112"/>
      <c r="N9" s="112"/>
      <c r="O9" s="112"/>
      <c r="P9" s="113"/>
      <c r="Q9" s="102"/>
    </row>
    <row r="10" spans="1:17" ht="45" x14ac:dyDescent="0.2">
      <c r="A10" s="108">
        <v>5</v>
      </c>
      <c r="B10" s="109" t="str">
        <f>ORÇAMENTO!B25</f>
        <v>VAGAS ESTACIONAMENTO EM CONCRETO</v>
      </c>
      <c r="C10" s="110">
        <f>ORÇAMENTO!E27</f>
        <v>265</v>
      </c>
      <c r="D10" s="111">
        <f>ORÇAMENTO!I30</f>
        <v>21959.112510000003</v>
      </c>
      <c r="E10" s="112"/>
      <c r="F10" s="112"/>
      <c r="G10" s="112">
        <f>D10</f>
        <v>21959.112510000003</v>
      </c>
      <c r="H10" s="112"/>
      <c r="I10" s="112"/>
      <c r="J10" s="112"/>
      <c r="K10" s="112"/>
      <c r="L10" s="112"/>
      <c r="M10" s="112"/>
      <c r="N10" s="112"/>
      <c r="O10" s="112"/>
      <c r="P10" s="113"/>
      <c r="Q10" s="102"/>
    </row>
    <row r="11" spans="1:17" ht="15" x14ac:dyDescent="0.2">
      <c r="A11" s="108">
        <v>6</v>
      </c>
      <c r="B11" s="109" t="str">
        <f>ORÇAMENTO!B31</f>
        <v>DEMOLIÇÃO</v>
      </c>
      <c r="C11" s="110">
        <f>ORÇAMENTO!E32:E32</f>
        <v>40</v>
      </c>
      <c r="D11" s="111">
        <f>ORÇAMENTO!I32</f>
        <v>28779.54</v>
      </c>
      <c r="E11" s="112"/>
      <c r="F11" s="112"/>
      <c r="G11" s="112">
        <f>D11/2</f>
        <v>14389.77</v>
      </c>
      <c r="H11" s="112">
        <f>D11/2</f>
        <v>14389.77</v>
      </c>
      <c r="I11" s="112"/>
      <c r="J11" s="112"/>
      <c r="K11" s="112"/>
      <c r="L11" s="112"/>
      <c r="M11" s="112"/>
      <c r="N11" s="112"/>
      <c r="O11" s="112"/>
      <c r="P11" s="113"/>
      <c r="Q11" s="102"/>
    </row>
    <row r="12" spans="1:17" ht="30" x14ac:dyDescent="0.2">
      <c r="A12" s="108">
        <v>7</v>
      </c>
      <c r="B12" s="109" t="str">
        <f>ORÇAMENTO!A34</f>
        <v>RECEPÇÃO E SALA DE AULAS</v>
      </c>
      <c r="C12" s="110">
        <f>ORÇAMENTO!E39</f>
        <v>76</v>
      </c>
      <c r="D12" s="111">
        <f>ORÇAMENTO!I55+ORÇAMENTO!I57</f>
        <v>119256.60122279999</v>
      </c>
      <c r="E12" s="112">
        <f>D12/12</f>
        <v>9938.0501018999985</v>
      </c>
      <c r="F12" s="112">
        <f>E12</f>
        <v>9938.0501018999985</v>
      </c>
      <c r="G12" s="112">
        <f>F12</f>
        <v>9938.0501018999985</v>
      </c>
      <c r="H12" s="112">
        <f>G12</f>
        <v>9938.0501018999985</v>
      </c>
      <c r="I12" s="112">
        <f>H12</f>
        <v>9938.0501018999985</v>
      </c>
      <c r="J12" s="112">
        <f>I12</f>
        <v>9938.0501018999985</v>
      </c>
      <c r="K12" s="112">
        <f>(D12-E12-F12-G12-H12-I12-J12)/3</f>
        <v>19876.100203800008</v>
      </c>
      <c r="L12" s="112">
        <f>K12</f>
        <v>19876.100203800008</v>
      </c>
      <c r="M12" s="112">
        <f>K12</f>
        <v>19876.100203800008</v>
      </c>
      <c r="N12" s="112"/>
      <c r="O12" s="112"/>
      <c r="P12" s="113"/>
      <c r="Q12" s="102"/>
    </row>
    <row r="13" spans="1:17" ht="15" x14ac:dyDescent="0.2">
      <c r="A13" s="108">
        <v>8</v>
      </c>
      <c r="B13" s="109" t="str">
        <f>ORÇAMENTO!D59</f>
        <v>PORTAL</v>
      </c>
      <c r="C13" s="110"/>
      <c r="D13" s="111">
        <f>ORÇAMENTO!I68</f>
        <v>28334.510385662496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>
        <f>D13/3</f>
        <v>9444.8367952208318</v>
      </c>
      <c r="O13" s="112">
        <f>N13</f>
        <v>9444.8367952208318</v>
      </c>
      <c r="P13" s="113">
        <f>N13</f>
        <v>9444.8367952208318</v>
      </c>
      <c r="Q13" s="102"/>
    </row>
    <row r="14" spans="1:17" ht="15.75" x14ac:dyDescent="0.2">
      <c r="A14" s="175" t="s">
        <v>1</v>
      </c>
      <c r="B14" s="176"/>
      <c r="C14" s="114"/>
      <c r="D14" s="114">
        <f>SUM(D6:D13)</f>
        <v>365154.31055496249</v>
      </c>
      <c r="E14" s="115">
        <f>SUM(E6:E13)</f>
        <v>46999.364940150001</v>
      </c>
      <c r="F14" s="115">
        <f t="shared" ref="F14:N14" si="0">SUM(F6:F13)</f>
        <v>34665.397260149999</v>
      </c>
      <c r="G14" s="115">
        <f t="shared" si="0"/>
        <v>77248.705401899992</v>
      </c>
      <c r="H14" s="115">
        <f t="shared" si="0"/>
        <v>49019.190651899997</v>
      </c>
      <c r="I14" s="115">
        <f t="shared" si="0"/>
        <v>34629.4206519</v>
      </c>
      <c r="J14" s="115">
        <f t="shared" si="0"/>
        <v>34629.4206519</v>
      </c>
      <c r="K14" s="115">
        <f t="shared" si="0"/>
        <v>19876.100203800008</v>
      </c>
      <c r="L14" s="115">
        <f t="shared" si="0"/>
        <v>19876.100203800008</v>
      </c>
      <c r="M14" s="115">
        <f t="shared" si="0"/>
        <v>19876.100203800008</v>
      </c>
      <c r="N14" s="115">
        <f t="shared" si="0"/>
        <v>9444.8367952208318</v>
      </c>
      <c r="O14" s="115">
        <f>SUM(O6:O13)</f>
        <v>9444.8367952208318</v>
      </c>
      <c r="P14" s="116">
        <f>SUM(P6:P13)</f>
        <v>9444.8367952208318</v>
      </c>
      <c r="Q14" s="102"/>
    </row>
    <row r="15" spans="1:17" ht="15.75" x14ac:dyDescent="0.2">
      <c r="A15" s="175" t="s">
        <v>208</v>
      </c>
      <c r="B15" s="176"/>
      <c r="C15" s="114"/>
      <c r="D15" s="104">
        <f>D14</f>
        <v>365154.31055496249</v>
      </c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8"/>
      <c r="Q15" s="103"/>
    </row>
    <row r="16" spans="1:17" ht="15.75" x14ac:dyDescent="0.2">
      <c r="A16" s="175"/>
      <c r="B16" s="176"/>
      <c r="C16" s="114"/>
      <c r="D16" s="114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80"/>
    </row>
    <row r="17" spans="1:16" ht="15" x14ac:dyDescent="0.2">
      <c r="A17" s="117"/>
      <c r="B17" s="118"/>
      <c r="C17" s="118"/>
      <c r="D17" s="118"/>
      <c r="E17" s="119"/>
      <c r="F17" s="119"/>
      <c r="G17" s="119"/>
      <c r="H17" s="120"/>
      <c r="I17" s="120"/>
      <c r="J17" s="120"/>
      <c r="K17" s="120"/>
      <c r="L17" s="120"/>
      <c r="M17" s="120"/>
      <c r="N17" s="120"/>
      <c r="O17" s="120"/>
      <c r="P17" s="121"/>
    </row>
    <row r="18" spans="1:16" ht="15" x14ac:dyDescent="0.2">
      <c r="A18" s="122"/>
      <c r="B18" s="123"/>
      <c r="C18" s="123"/>
      <c r="D18" s="123"/>
      <c r="E18" s="123"/>
      <c r="F18" s="119"/>
      <c r="G18" s="119"/>
      <c r="H18" s="120"/>
      <c r="I18" s="120"/>
      <c r="J18" s="120"/>
      <c r="K18" s="120"/>
      <c r="L18" s="120"/>
      <c r="M18" s="120"/>
      <c r="N18" s="120"/>
      <c r="O18" s="120"/>
      <c r="P18" s="121"/>
    </row>
    <row r="19" spans="1:16" ht="15.75" x14ac:dyDescent="0.2">
      <c r="A19" s="122"/>
      <c r="B19" s="124"/>
      <c r="C19" s="125"/>
      <c r="D19" s="126"/>
      <c r="E19" s="126"/>
      <c r="F19" s="123"/>
      <c r="G19" s="127"/>
      <c r="H19" s="128"/>
      <c r="I19" s="128"/>
      <c r="J19" s="128"/>
      <c r="K19" s="128"/>
      <c r="L19" s="120"/>
      <c r="M19" s="120"/>
      <c r="N19" s="120"/>
      <c r="O19" s="120"/>
      <c r="P19" s="121"/>
    </row>
    <row r="20" spans="1:16" ht="15.75" x14ac:dyDescent="0.2">
      <c r="A20" s="122"/>
      <c r="B20" s="124"/>
      <c r="C20" s="129"/>
      <c r="D20" s="130" t="str">
        <f>[1]Orçamento!F24</f>
        <v>______________________________________</v>
      </c>
      <c r="E20" s="130"/>
      <c r="F20" s="123"/>
      <c r="G20" s="131"/>
      <c r="H20" s="120"/>
      <c r="I20" s="120"/>
      <c r="J20" s="120"/>
      <c r="K20" s="120"/>
      <c r="L20" s="120"/>
      <c r="M20" s="120"/>
      <c r="N20" s="120"/>
      <c r="O20" s="120"/>
      <c r="P20" s="121"/>
    </row>
    <row r="21" spans="1:16" ht="15.75" x14ac:dyDescent="0.2">
      <c r="A21" s="122"/>
      <c r="B21" s="123"/>
      <c r="C21" s="129"/>
      <c r="D21" s="130" t="s">
        <v>195</v>
      </c>
      <c r="E21" s="130"/>
      <c r="F21" s="123"/>
      <c r="G21" s="131"/>
      <c r="H21" s="120"/>
      <c r="I21" s="120"/>
      <c r="J21" s="120"/>
      <c r="K21" s="120"/>
      <c r="L21" s="120"/>
      <c r="M21" s="120"/>
      <c r="N21" s="120"/>
      <c r="O21" s="120"/>
      <c r="P21" s="121"/>
    </row>
    <row r="22" spans="1:16" ht="15.75" x14ac:dyDescent="0.2">
      <c r="A22" s="132"/>
      <c r="B22" s="133"/>
      <c r="C22" s="174" t="s">
        <v>160</v>
      </c>
      <c r="D22" s="174"/>
      <c r="E22" s="174"/>
      <c r="F22" s="134"/>
      <c r="G22" s="131"/>
      <c r="H22" s="120"/>
      <c r="I22" s="120"/>
      <c r="J22" s="135"/>
      <c r="K22" s="120"/>
      <c r="L22" s="120"/>
      <c r="M22" s="120"/>
      <c r="N22" s="120"/>
      <c r="O22" s="120"/>
      <c r="P22" s="121"/>
    </row>
    <row r="23" spans="1:16" ht="16.5" thickBot="1" x14ac:dyDescent="0.25">
      <c r="A23" s="136"/>
      <c r="B23" s="137"/>
      <c r="C23" s="138"/>
      <c r="D23" s="139" t="s">
        <v>209</v>
      </c>
      <c r="E23" s="139"/>
      <c r="F23" s="140"/>
      <c r="G23" s="140"/>
      <c r="H23" s="141"/>
      <c r="I23" s="141"/>
      <c r="J23" s="142"/>
      <c r="K23" s="141"/>
      <c r="L23" s="141"/>
      <c r="M23" s="141"/>
      <c r="N23" s="141"/>
      <c r="O23" s="141"/>
      <c r="P23" s="143"/>
    </row>
    <row r="24" spans="1:16" ht="15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5"/>
      <c r="K24" s="144"/>
      <c r="L24" s="146"/>
      <c r="M24" s="146"/>
      <c r="N24" s="144"/>
      <c r="O24" s="144"/>
      <c r="P24" s="144"/>
    </row>
    <row r="25" spans="1:16" ht="15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6" spans="1:16" ht="15" x14ac:dyDescent="0.2">
      <c r="A26" s="144"/>
      <c r="B26" s="144"/>
      <c r="C26" s="144"/>
      <c r="D26" s="144"/>
      <c r="E26" s="144"/>
      <c r="F26" s="144"/>
      <c r="G26" s="144"/>
      <c r="H26" s="144"/>
      <c r="I26" s="144"/>
      <c r="J26" s="145"/>
      <c r="K26" s="144"/>
      <c r="L26" s="144"/>
      <c r="M26" s="144"/>
      <c r="N26" s="144"/>
      <c r="O26" s="144"/>
      <c r="P26" s="144"/>
    </row>
    <row r="27" spans="1:16" ht="15" x14ac:dyDescent="0.2">
      <c r="A27" s="144"/>
      <c r="B27" s="144"/>
      <c r="C27" s="144"/>
      <c r="D27" s="144"/>
      <c r="E27" s="144"/>
      <c r="F27" s="144"/>
      <c r="G27" s="144"/>
      <c r="H27" s="144"/>
      <c r="I27" s="144"/>
      <c r="J27" s="146"/>
      <c r="K27" s="144"/>
      <c r="L27" s="146"/>
      <c r="M27" s="144"/>
      <c r="N27" s="144"/>
      <c r="O27" s="144"/>
      <c r="P27" s="144"/>
    </row>
    <row r="28" spans="1:16" ht="15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</row>
    <row r="29" spans="1:16" ht="15" x14ac:dyDescent="0.2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</row>
  </sheetData>
  <mergeCells count="9">
    <mergeCell ref="C22:E22"/>
    <mergeCell ref="A16:B16"/>
    <mergeCell ref="E15:P16"/>
    <mergeCell ref="A1:P1"/>
    <mergeCell ref="A2:P2"/>
    <mergeCell ref="A3:P3"/>
    <mergeCell ref="A4:P4"/>
    <mergeCell ref="A14:B14"/>
    <mergeCell ref="A15:B15"/>
  </mergeCells>
  <printOptions verticalCentered="1"/>
  <pageMargins left="1.5748031496062993" right="0" top="0.78740157480314965" bottom="0.78740157480314965" header="0.31496062992125984" footer="0.31496062992125984"/>
  <pageSetup paperSize="9" scale="50" fitToWidth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</vt:lpstr>
      <vt:lpstr>Planilha1</vt:lpstr>
      <vt:lpstr>Planilha2</vt:lpstr>
      <vt:lpstr>ORÇAMENTO!Area_de_impressao</vt:lpstr>
      <vt:lpstr>FDE</vt:lpstr>
    </vt:vector>
  </TitlesOfParts>
  <Company>fde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de Oliveira Azevedo</dc:creator>
  <cp:lastModifiedBy>SUPORTE-ADM</cp:lastModifiedBy>
  <cp:lastPrinted>2023-02-28T17:54:21Z</cp:lastPrinted>
  <dcterms:created xsi:type="dcterms:W3CDTF">1999-12-30T13:15:15Z</dcterms:created>
  <dcterms:modified xsi:type="dcterms:W3CDTF">2023-03-16T17:57:03Z</dcterms:modified>
</cp:coreProperties>
</file>